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DF Y CONT GUB DIC 2020\INFORMACIÓN PRESUPUESTAL DIC\"/>
    </mc:Choice>
  </mc:AlternateContent>
  <bookViews>
    <workbookView xWindow="240" yWindow="75" windowWidth="15480" windowHeight="7425" tabRatio="898"/>
  </bookViews>
  <sheets>
    <sheet name="Dic-20 Global " sheetId="67" r:id="rId1"/>
    <sheet name="Dic-20 EST" sheetId="79" r:id="rId2"/>
    <sheet name="Dic-20 ING. PROP." sheetId="78" r:id="rId3"/>
    <sheet name="PRESUPUESTO  FIS. 2020" sheetId="71" r:id="rId4"/>
    <sheet name="Hoja1" sheetId="80" r:id="rId5"/>
    <sheet name="Hoja2" sheetId="81" r:id="rId6"/>
  </sheets>
  <definedNames>
    <definedName name="_xlnm.Print_Area" localSheetId="0">'Dic-20 Global '!$A$1:$M$226</definedName>
    <definedName name="_xlnm.Print_Area" localSheetId="2">'Dic-20 ING. PROP.'!$A$1:$M$220</definedName>
    <definedName name="_xlnm.Print_Area" localSheetId="3">'PRESUPUESTO  FIS. 2020'!$A$1:$F$134</definedName>
    <definedName name="_xlnm.Print_Titles" localSheetId="1">'Dic-20 EST'!$2:$7</definedName>
    <definedName name="_xlnm.Print_Titles" localSheetId="0">'Dic-20 Global '!$1:$6</definedName>
    <definedName name="_xlnm.Print_Titles" localSheetId="2">'Dic-20 ING. PROP.'!$1:$6</definedName>
    <definedName name="_xlnm.Print_Titles" localSheetId="3">'PRESUPUESTO  FIS. 2020'!$1:$6</definedName>
  </definedNames>
  <calcPr calcId="162913"/>
</workbook>
</file>

<file path=xl/calcChain.xml><?xml version="1.0" encoding="utf-8"?>
<calcChain xmlns="http://schemas.openxmlformats.org/spreadsheetml/2006/main">
  <c r="D173" i="67" l="1"/>
  <c r="D174" i="67"/>
  <c r="D172" i="67" s="1"/>
  <c r="F172" i="67"/>
  <c r="C172" i="67"/>
  <c r="K177" i="67"/>
  <c r="H177" i="67"/>
  <c r="I177" i="67" s="1"/>
  <c r="E177" i="67"/>
  <c r="D174" i="79"/>
  <c r="D173" i="79"/>
  <c r="E172" i="79"/>
  <c r="F172" i="79"/>
  <c r="C172" i="79"/>
  <c r="K177" i="79"/>
  <c r="H177" i="79"/>
  <c r="G177" i="79"/>
  <c r="J177" i="67" l="1"/>
  <c r="G177" i="67"/>
  <c r="D172" i="79"/>
  <c r="I177" i="79"/>
  <c r="J177" i="79"/>
  <c r="I44" i="80"/>
  <c r="I45" i="80"/>
  <c r="I46" i="80"/>
  <c r="I47" i="80"/>
  <c r="I48" i="80"/>
  <c r="I49" i="80"/>
  <c r="I50" i="80"/>
  <c r="I51" i="80"/>
  <c r="I52" i="80"/>
  <c r="I53" i="80"/>
  <c r="I54" i="80"/>
  <c r="I55" i="80"/>
  <c r="I56" i="80"/>
  <c r="I57" i="80"/>
  <c r="I43" i="80"/>
  <c r="I59" i="80"/>
  <c r="I2" i="80"/>
  <c r="I3" i="80"/>
  <c r="I4" i="80"/>
  <c r="I5" i="80"/>
  <c r="I6" i="80"/>
  <c r="I7" i="80"/>
  <c r="I8" i="80"/>
  <c r="I9" i="80"/>
  <c r="I10" i="80"/>
  <c r="I11" i="80"/>
  <c r="I12" i="80"/>
  <c r="I13" i="80"/>
  <c r="I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I35" i="80"/>
  <c r="I36" i="80"/>
  <c r="I37" i="80"/>
  <c r="I38" i="80"/>
  <c r="I39" i="80"/>
  <c r="I40" i="80"/>
  <c r="I41" i="80"/>
  <c r="I1" i="80"/>
  <c r="D27" i="67"/>
  <c r="D2" i="80"/>
  <c r="D3" i="80"/>
  <c r="D4" i="80"/>
  <c r="D5" i="80"/>
  <c r="D6" i="80"/>
  <c r="D7" i="80"/>
  <c r="D8" i="80"/>
  <c r="D9" i="80"/>
  <c r="D10" i="80"/>
  <c r="D11" i="80"/>
  <c r="D12" i="80"/>
  <c r="D13" i="80"/>
  <c r="D14" i="80"/>
  <c r="D15" i="80"/>
  <c r="D16" i="80"/>
  <c r="D17" i="80"/>
  <c r="D18" i="80"/>
  <c r="D19" i="80"/>
  <c r="D20" i="80"/>
  <c r="D21" i="80"/>
  <c r="D22" i="80"/>
  <c r="D23" i="80"/>
  <c r="D24" i="80"/>
  <c r="D25" i="80"/>
  <c r="D26" i="80"/>
  <c r="D27" i="80"/>
  <c r="D28" i="80"/>
  <c r="D29" i="80"/>
  <c r="D30" i="80"/>
  <c r="D31" i="80"/>
  <c r="D32" i="80"/>
  <c r="D33" i="80"/>
  <c r="D35" i="80"/>
  <c r="D36" i="80"/>
  <c r="D37" i="80"/>
  <c r="D38" i="80"/>
  <c r="D39" i="80"/>
  <c r="D40" i="80"/>
  <c r="D41" i="80"/>
  <c r="D43" i="80"/>
  <c r="D45" i="80"/>
  <c r="D46" i="80"/>
  <c r="D47" i="80"/>
  <c r="D48" i="80"/>
  <c r="D49" i="80"/>
  <c r="D50" i="80"/>
  <c r="D51" i="80"/>
  <c r="D52" i="80"/>
  <c r="D53" i="80"/>
  <c r="D54" i="80"/>
  <c r="D55" i="80"/>
  <c r="D56" i="80"/>
  <c r="D57" i="80"/>
  <c r="D58" i="80"/>
  <c r="D59" i="80"/>
  <c r="D60" i="80"/>
  <c r="D61" i="80"/>
  <c r="D62" i="80"/>
  <c r="D63" i="80"/>
  <c r="D64" i="80"/>
  <c r="D65" i="80"/>
  <c r="D66" i="80"/>
  <c r="D67" i="80"/>
  <c r="D68" i="80"/>
  <c r="D69" i="80"/>
  <c r="D70" i="80"/>
  <c r="D71" i="80"/>
  <c r="D1" i="80"/>
  <c r="D10" i="67" l="1"/>
  <c r="D108" i="67" l="1"/>
  <c r="D64" i="67"/>
  <c r="D35" i="67"/>
  <c r="C15" i="67"/>
  <c r="D11" i="79" l="1"/>
  <c r="D15" i="79"/>
  <c r="D17" i="79"/>
  <c r="D18" i="79"/>
  <c r="D19" i="79"/>
  <c r="F99" i="79"/>
  <c r="C99" i="79"/>
  <c r="M173" i="67" l="1"/>
  <c r="L173" i="67"/>
  <c r="L108" i="67"/>
  <c r="L96" i="67"/>
  <c r="L70" i="67"/>
  <c r="M57" i="67"/>
  <c r="L57" i="67"/>
  <c r="L55" i="67"/>
  <c r="L46" i="67"/>
  <c r="L45" i="67"/>
  <c r="M44" i="67"/>
  <c r="L44" i="67"/>
  <c r="M29" i="67"/>
  <c r="L29" i="67"/>
  <c r="L27" i="67"/>
  <c r="L15" i="67"/>
  <c r="M18" i="67"/>
  <c r="L18" i="67"/>
  <c r="M17" i="67"/>
  <c r="L17" i="67"/>
  <c r="L16" i="67"/>
  <c r="M15" i="67"/>
  <c r="M14" i="67"/>
  <c r="L14" i="67"/>
  <c r="M10" i="67"/>
  <c r="L10" i="67"/>
  <c r="D184" i="67"/>
  <c r="D183" i="67"/>
  <c r="D170" i="67"/>
  <c r="D169" i="67"/>
  <c r="D168" i="67"/>
  <c r="D166" i="67"/>
  <c r="D165" i="67"/>
  <c r="D164" i="67"/>
  <c r="D162" i="67"/>
  <c r="D159" i="67"/>
  <c r="D157" i="67"/>
  <c r="D156" i="67"/>
  <c r="D154" i="67"/>
  <c r="D151" i="67"/>
  <c r="D150" i="67"/>
  <c r="D149" i="67"/>
  <c r="D147" i="67"/>
  <c r="D146" i="67"/>
  <c r="D144" i="67"/>
  <c r="D141" i="67"/>
  <c r="D140" i="67"/>
  <c r="D138" i="67"/>
  <c r="D135" i="67"/>
  <c r="D133" i="67"/>
  <c r="D132" i="67"/>
  <c r="D130" i="67"/>
  <c r="D126" i="67"/>
  <c r="D125" i="67"/>
  <c r="D124" i="67"/>
  <c r="D123" i="67"/>
  <c r="D122" i="67"/>
  <c r="D116" i="67"/>
  <c r="D115" i="67"/>
  <c r="D114" i="67"/>
  <c r="D113" i="67"/>
  <c r="D112" i="67"/>
  <c r="D110" i="67"/>
  <c r="D109" i="67"/>
  <c r="D106" i="67"/>
  <c r="D103" i="67"/>
  <c r="D102" i="67"/>
  <c r="D101" i="67"/>
  <c r="D100" i="67"/>
  <c r="D99" i="67"/>
  <c r="D98" i="67"/>
  <c r="D95" i="67"/>
  <c r="D94" i="67"/>
  <c r="D93" i="67"/>
  <c r="D92" i="67"/>
  <c r="D91" i="67"/>
  <c r="D90" i="67"/>
  <c r="D89" i="67"/>
  <c r="D88" i="67"/>
  <c r="D86" i="67"/>
  <c r="D85" i="67"/>
  <c r="D83" i="67"/>
  <c r="D82" i="67"/>
  <c r="D80" i="67"/>
  <c r="D79" i="67"/>
  <c r="D78" i="67"/>
  <c r="D72" i="67"/>
  <c r="D71" i="67"/>
  <c r="D69" i="67"/>
  <c r="D68" i="67"/>
  <c r="D65" i="67"/>
  <c r="D62" i="67"/>
  <c r="D60" i="67"/>
  <c r="D57" i="67"/>
  <c r="D54" i="67"/>
  <c r="D53" i="67"/>
  <c r="D50" i="67"/>
  <c r="D49" i="67"/>
  <c r="D48" i="67"/>
  <c r="D46" i="67"/>
  <c r="D44" i="67"/>
  <c r="D42" i="67"/>
  <c r="D33" i="67"/>
  <c r="D32" i="67"/>
  <c r="D31" i="67"/>
  <c r="D30" i="67"/>
  <c r="D29" i="67"/>
  <c r="D28" i="67"/>
  <c r="D26" i="67"/>
  <c r="D24" i="67"/>
  <c r="D20" i="67"/>
  <c r="D18" i="67"/>
  <c r="D17" i="67"/>
  <c r="D16" i="67"/>
  <c r="D14" i="67"/>
  <c r="C204" i="67"/>
  <c r="D204" i="67"/>
  <c r="F204" i="67"/>
  <c r="K209" i="67"/>
  <c r="H209" i="67"/>
  <c r="I209" i="67" s="1"/>
  <c r="E209" i="67"/>
  <c r="J209" i="67" s="1"/>
  <c r="K163" i="67"/>
  <c r="H163" i="67"/>
  <c r="I163" i="67" s="1"/>
  <c r="E163" i="67"/>
  <c r="M209" i="67" l="1"/>
  <c r="M163" i="67"/>
  <c r="G209" i="67"/>
  <c r="J163" i="67"/>
  <c r="G163" i="67"/>
  <c r="M28" i="79"/>
  <c r="M19" i="79"/>
  <c r="M16" i="79"/>
  <c r="D98" i="79" l="1"/>
  <c r="D58" i="79"/>
  <c r="D57" i="79"/>
  <c r="D49" i="79"/>
  <c r="D28" i="79"/>
  <c r="D178" i="78" l="1"/>
  <c r="D177" i="78"/>
  <c r="D165" i="78"/>
  <c r="D154" i="78"/>
  <c r="D147" i="78"/>
  <c r="D110" i="78"/>
  <c r="D100" i="78"/>
  <c r="D96" i="78"/>
  <c r="D94" i="78"/>
  <c r="D93" i="78"/>
  <c r="D92" i="78"/>
  <c r="D90" i="78"/>
  <c r="D91" i="78"/>
  <c r="D87" i="78"/>
  <c r="K202" i="78" l="1"/>
  <c r="L202" i="78" s="1"/>
  <c r="H202" i="78"/>
  <c r="G202" i="78"/>
  <c r="K160" i="78"/>
  <c r="L160" i="78" s="1"/>
  <c r="H160" i="78"/>
  <c r="K158" i="78"/>
  <c r="L158" i="78" s="1"/>
  <c r="H158" i="78"/>
  <c r="G158" i="78"/>
  <c r="D170" i="79"/>
  <c r="D166" i="79"/>
  <c r="D163" i="79"/>
  <c r="D153" i="79"/>
  <c r="D148" i="79"/>
  <c r="D146" i="79"/>
  <c r="D142" i="79"/>
  <c r="D140" i="79"/>
  <c r="D137" i="79"/>
  <c r="D134" i="79"/>
  <c r="D132" i="79"/>
  <c r="D127" i="79"/>
  <c r="D126" i="79"/>
  <c r="D117" i="79"/>
  <c r="D114" i="79"/>
  <c r="D111" i="79"/>
  <c r="D110" i="79"/>
  <c r="D108" i="79"/>
  <c r="D104" i="79"/>
  <c r="D103" i="79"/>
  <c r="D97" i="79"/>
  <c r="D96" i="79"/>
  <c r="D90" i="79"/>
  <c r="D87" i="79"/>
  <c r="D84" i="79"/>
  <c r="D82" i="79"/>
  <c r="D80" i="79"/>
  <c r="D74" i="79"/>
  <c r="D71" i="79"/>
  <c r="D70" i="79"/>
  <c r="D67" i="79"/>
  <c r="D64" i="79"/>
  <c r="D62" i="79"/>
  <c r="D59" i="79"/>
  <c r="D56" i="79"/>
  <c r="D55" i="79"/>
  <c r="D52" i="79"/>
  <c r="D51" i="79"/>
  <c r="D50" i="79"/>
  <c r="D48" i="79"/>
  <c r="D46" i="79"/>
  <c r="D44" i="79"/>
  <c r="D34" i="79"/>
  <c r="D33" i="79"/>
  <c r="D32" i="79"/>
  <c r="D31" i="79"/>
  <c r="D30" i="79"/>
  <c r="D29" i="79"/>
  <c r="D27" i="79"/>
  <c r="D25" i="79"/>
  <c r="D21" i="79"/>
  <c r="J160" i="78" l="1"/>
  <c r="M202" i="78"/>
  <c r="J202" i="78"/>
  <c r="I202" i="78"/>
  <c r="M160" i="78"/>
  <c r="G160" i="78"/>
  <c r="I160" i="78"/>
  <c r="M158" i="78"/>
  <c r="J158" i="78"/>
  <c r="I158" i="78"/>
  <c r="K70" i="67" l="1"/>
  <c r="H70" i="67"/>
  <c r="I70" i="67" s="1"/>
  <c r="E70" i="67"/>
  <c r="J70" i="67" s="1"/>
  <c r="K72" i="79"/>
  <c r="H72" i="79"/>
  <c r="I72" i="79" s="1"/>
  <c r="K39" i="79"/>
  <c r="H39" i="79"/>
  <c r="I39" i="79" s="1"/>
  <c r="E174" i="67"/>
  <c r="G174" i="67" s="1"/>
  <c r="K174" i="67"/>
  <c r="L174" i="67" s="1"/>
  <c r="H174" i="67"/>
  <c r="K169" i="78"/>
  <c r="L169" i="78" s="1"/>
  <c r="H169" i="78"/>
  <c r="I169" i="78" s="1"/>
  <c r="K174" i="79"/>
  <c r="L174" i="79" s="1"/>
  <c r="H174" i="79"/>
  <c r="G174" i="79"/>
  <c r="K106" i="79"/>
  <c r="L106" i="79" s="1"/>
  <c r="H106" i="79"/>
  <c r="I106" i="79" s="1"/>
  <c r="J169" i="78" l="1"/>
  <c r="M169" i="78"/>
  <c r="G70" i="67"/>
  <c r="J72" i="79"/>
  <c r="G72" i="79"/>
  <c r="J39" i="79"/>
  <c r="G39" i="79"/>
  <c r="M174" i="79"/>
  <c r="M174" i="67"/>
  <c r="J174" i="67"/>
  <c r="I174" i="67"/>
  <c r="G169" i="78"/>
  <c r="J174" i="79"/>
  <c r="I174" i="79"/>
  <c r="M106" i="79"/>
  <c r="J106" i="79"/>
  <c r="G106" i="79"/>
  <c r="D47" i="79"/>
  <c r="D143" i="67" l="1"/>
  <c r="D81" i="67" l="1"/>
  <c r="D51" i="67"/>
  <c r="D156" i="79" l="1"/>
  <c r="D149" i="79"/>
  <c r="D143" i="79"/>
  <c r="D101" i="79"/>
  <c r="D116" i="79"/>
  <c r="D115" i="79"/>
  <c r="D105" i="79"/>
  <c r="D100" i="79"/>
  <c r="D85" i="79"/>
  <c r="D81" i="79"/>
  <c r="D53" i="79"/>
  <c r="D99" i="79" l="1"/>
  <c r="K101" i="78"/>
  <c r="L101" i="78" s="1"/>
  <c r="H101" i="78"/>
  <c r="G101" i="78"/>
  <c r="M101" i="78" l="1"/>
  <c r="J101" i="78"/>
  <c r="I101" i="78"/>
  <c r="K103" i="67"/>
  <c r="L103" i="67" s="1"/>
  <c r="H103" i="67"/>
  <c r="I103" i="67" s="1"/>
  <c r="E103" i="67"/>
  <c r="M103" i="67" l="1"/>
  <c r="J103" i="67"/>
  <c r="G103" i="67"/>
  <c r="F89" i="79"/>
  <c r="E27" i="67" l="1"/>
  <c r="E28" i="67"/>
  <c r="E29" i="67"/>
  <c r="E30" i="67"/>
  <c r="E31" i="67"/>
  <c r="E32" i="67"/>
  <c r="E33" i="67"/>
  <c r="D139" i="67" l="1"/>
  <c r="D38" i="67"/>
  <c r="F158" i="67" l="1"/>
  <c r="D158" i="67"/>
  <c r="C158" i="67"/>
  <c r="K165" i="79"/>
  <c r="L165" i="79" s="1"/>
  <c r="H165" i="79"/>
  <c r="I165" i="79" s="1"/>
  <c r="K164" i="79"/>
  <c r="L164" i="79" s="1"/>
  <c r="H164" i="79"/>
  <c r="I164" i="79" s="1"/>
  <c r="G164" i="79"/>
  <c r="M165" i="79" l="1"/>
  <c r="J165" i="79"/>
  <c r="J164" i="79"/>
  <c r="M164" i="79"/>
  <c r="G165" i="79"/>
  <c r="K164" i="67"/>
  <c r="L164" i="67" s="1"/>
  <c r="H164" i="67"/>
  <c r="I164" i="67" s="1"/>
  <c r="E164" i="67"/>
  <c r="K165" i="67"/>
  <c r="L165" i="67" s="1"/>
  <c r="H165" i="67"/>
  <c r="I165" i="67" s="1"/>
  <c r="E165" i="67"/>
  <c r="G165" i="67" s="1"/>
  <c r="K159" i="67"/>
  <c r="H159" i="67"/>
  <c r="I159" i="67" s="1"/>
  <c r="E159" i="67"/>
  <c r="J165" i="67" l="1"/>
  <c r="L159" i="67"/>
  <c r="J159" i="67"/>
  <c r="G159" i="67"/>
  <c r="M165" i="67"/>
  <c r="M164" i="67"/>
  <c r="J164" i="67"/>
  <c r="G164" i="67"/>
  <c r="F87" i="67"/>
  <c r="M159" i="67" l="1"/>
  <c r="F105" i="67"/>
  <c r="K157" i="79" l="1"/>
  <c r="L157" i="79" s="1"/>
  <c r="H157" i="79"/>
  <c r="I157" i="79" s="1"/>
  <c r="J157" i="79"/>
  <c r="K155" i="67"/>
  <c r="L155" i="67" s="1"/>
  <c r="H155" i="67"/>
  <c r="I155" i="67" s="1"/>
  <c r="E155" i="67"/>
  <c r="J155" i="67" s="1"/>
  <c r="M157" i="79" l="1"/>
  <c r="G157" i="79"/>
  <c r="G155" i="67"/>
  <c r="M155" i="67"/>
  <c r="G41" i="78"/>
  <c r="H41" i="78"/>
  <c r="I41" i="78" s="1"/>
  <c r="K41" i="78"/>
  <c r="L41" i="78" s="1"/>
  <c r="E41" i="67"/>
  <c r="G41" i="67" s="1"/>
  <c r="H41" i="67"/>
  <c r="I41" i="67" s="1"/>
  <c r="K41" i="67"/>
  <c r="J41" i="78" l="1"/>
  <c r="M41" i="78"/>
  <c r="J41" i="67"/>
  <c r="M41" i="67"/>
  <c r="M216" i="79"/>
  <c r="K214" i="79"/>
  <c r="L214" i="79" s="1"/>
  <c r="H214" i="79"/>
  <c r="I214" i="79" s="1"/>
  <c r="I213" i="79" s="1"/>
  <c r="I216" i="79" s="1"/>
  <c r="F213" i="79"/>
  <c r="F216" i="79" s="1"/>
  <c r="D213" i="79"/>
  <c r="D216" i="79" s="1"/>
  <c r="C213" i="79"/>
  <c r="C216" i="79" s="1"/>
  <c r="K208" i="79"/>
  <c r="L208" i="79" s="1"/>
  <c r="H208" i="79"/>
  <c r="I208" i="79" s="1"/>
  <c r="K207" i="79"/>
  <c r="L207" i="79" s="1"/>
  <c r="H207" i="79"/>
  <c r="I207" i="79" s="1"/>
  <c r="K206" i="79"/>
  <c r="L206" i="79" s="1"/>
  <c r="H206" i="79"/>
  <c r="I206" i="79" s="1"/>
  <c r="K205" i="79"/>
  <c r="L205" i="79" s="1"/>
  <c r="H205" i="79"/>
  <c r="I205" i="79" s="1"/>
  <c r="F204" i="79"/>
  <c r="D204" i="79"/>
  <c r="C204" i="79"/>
  <c r="K203" i="79"/>
  <c r="H203" i="79"/>
  <c r="H202" i="79" s="1"/>
  <c r="F202" i="79"/>
  <c r="D202" i="79"/>
  <c r="C202" i="79"/>
  <c r="K201" i="79"/>
  <c r="L201" i="79" s="1"/>
  <c r="L200" i="79" s="1"/>
  <c r="H201" i="79"/>
  <c r="I201" i="79" s="1"/>
  <c r="I200" i="79" s="1"/>
  <c r="M200" i="79"/>
  <c r="F200" i="79"/>
  <c r="D200" i="79"/>
  <c r="C200" i="79"/>
  <c r="K199" i="79"/>
  <c r="L199" i="79" s="1"/>
  <c r="H199" i="79"/>
  <c r="I199" i="79" s="1"/>
  <c r="K198" i="79"/>
  <c r="L198" i="79" s="1"/>
  <c r="H198" i="79"/>
  <c r="I198" i="79" s="1"/>
  <c r="K197" i="79"/>
  <c r="L197" i="79" s="1"/>
  <c r="H197" i="79"/>
  <c r="G197" i="79"/>
  <c r="K196" i="79"/>
  <c r="L196" i="79" s="1"/>
  <c r="H196" i="79"/>
  <c r="I196" i="79" s="1"/>
  <c r="F195" i="79"/>
  <c r="D195" i="79"/>
  <c r="C195" i="79"/>
  <c r="K194" i="79"/>
  <c r="L194" i="79" s="1"/>
  <c r="H194" i="79"/>
  <c r="G194" i="79"/>
  <c r="K193" i="79"/>
  <c r="L193" i="79" s="1"/>
  <c r="H193" i="79"/>
  <c r="G193" i="79"/>
  <c r="K192" i="79"/>
  <c r="H192" i="79"/>
  <c r="K191" i="79"/>
  <c r="L191" i="79" s="1"/>
  <c r="H191" i="79"/>
  <c r="F190" i="79"/>
  <c r="F210" i="79" s="1"/>
  <c r="D190" i="79"/>
  <c r="C190" i="79"/>
  <c r="C210" i="79" s="1"/>
  <c r="K185" i="79"/>
  <c r="L185" i="79" s="1"/>
  <c r="H185" i="79"/>
  <c r="G185" i="79"/>
  <c r="K184" i="79"/>
  <c r="L184" i="79" s="1"/>
  <c r="H184" i="79"/>
  <c r="G184" i="79"/>
  <c r="K183" i="79"/>
  <c r="L183" i="79" s="1"/>
  <c r="H183" i="79"/>
  <c r="G183" i="79"/>
  <c r="H182" i="79"/>
  <c r="H187" i="79" s="1"/>
  <c r="F182" i="79"/>
  <c r="F187" i="79" s="1"/>
  <c r="D182" i="79"/>
  <c r="D187" i="79" s="1"/>
  <c r="C182" i="79"/>
  <c r="C187" i="79" s="1"/>
  <c r="K176" i="79"/>
  <c r="L176" i="79" s="1"/>
  <c r="H176" i="79"/>
  <c r="K175" i="79"/>
  <c r="L175" i="79" s="1"/>
  <c r="H175" i="79"/>
  <c r="K173" i="79"/>
  <c r="H173" i="79"/>
  <c r="H172" i="79" s="1"/>
  <c r="K171" i="79"/>
  <c r="L171" i="79" s="1"/>
  <c r="H171" i="79"/>
  <c r="I171" i="79" s="1"/>
  <c r="K170" i="79"/>
  <c r="L170" i="79" s="1"/>
  <c r="H170" i="79"/>
  <c r="I170" i="79" s="1"/>
  <c r="K169" i="79"/>
  <c r="L169" i="79" s="1"/>
  <c r="H169" i="79"/>
  <c r="I169" i="79" s="1"/>
  <c r="K168" i="79"/>
  <c r="L168" i="79" s="1"/>
  <c r="H168" i="79"/>
  <c r="I168" i="79" s="1"/>
  <c r="F167" i="79"/>
  <c r="D167" i="79"/>
  <c r="C167" i="79"/>
  <c r="K166" i="79"/>
  <c r="L166" i="79" s="1"/>
  <c r="H166" i="79"/>
  <c r="K163" i="79"/>
  <c r="L163" i="79" s="1"/>
  <c r="H163" i="79"/>
  <c r="F162" i="79"/>
  <c r="D162" i="79"/>
  <c r="C162" i="79"/>
  <c r="K161" i="79"/>
  <c r="L161" i="79" s="1"/>
  <c r="H161" i="79"/>
  <c r="I161" i="79" s="1"/>
  <c r="I160" i="79" s="1"/>
  <c r="F160" i="79"/>
  <c r="D160" i="79"/>
  <c r="C160" i="79"/>
  <c r="K159" i="79"/>
  <c r="L159" i="79" s="1"/>
  <c r="H159" i="79"/>
  <c r="K158" i="79"/>
  <c r="L158" i="79" s="1"/>
  <c r="H158" i="79"/>
  <c r="K156" i="79"/>
  <c r="L156" i="79" s="1"/>
  <c r="H156" i="79"/>
  <c r="K155" i="79"/>
  <c r="L155" i="79" s="1"/>
  <c r="H155" i="79"/>
  <c r="K154" i="79"/>
  <c r="L154" i="79" s="1"/>
  <c r="H154" i="79"/>
  <c r="K153" i="79"/>
  <c r="L153" i="79" s="1"/>
  <c r="H153" i="79"/>
  <c r="K152" i="79"/>
  <c r="L152" i="79" s="1"/>
  <c r="H152" i="79"/>
  <c r="K151" i="79"/>
  <c r="L151" i="79" s="1"/>
  <c r="H151" i="79"/>
  <c r="F150" i="79"/>
  <c r="D150" i="79"/>
  <c r="C150" i="79"/>
  <c r="K149" i="79"/>
  <c r="L149" i="79" s="1"/>
  <c r="H149" i="79"/>
  <c r="I149" i="79" s="1"/>
  <c r="K148" i="79"/>
  <c r="L148" i="79" s="1"/>
  <c r="H148" i="79"/>
  <c r="I148" i="79" s="1"/>
  <c r="K147" i="79"/>
  <c r="L147" i="79" s="1"/>
  <c r="H147" i="79"/>
  <c r="I147" i="79" s="1"/>
  <c r="K146" i="79"/>
  <c r="L146" i="79" s="1"/>
  <c r="H146" i="79"/>
  <c r="I146" i="79" s="1"/>
  <c r="K145" i="79"/>
  <c r="H145" i="79"/>
  <c r="I145" i="79" s="1"/>
  <c r="F144" i="79"/>
  <c r="D144" i="79"/>
  <c r="C144" i="79"/>
  <c r="K143" i="79"/>
  <c r="L143" i="79" s="1"/>
  <c r="H143" i="79"/>
  <c r="K142" i="79"/>
  <c r="L142" i="79" s="1"/>
  <c r="H142" i="79"/>
  <c r="K141" i="79"/>
  <c r="L141" i="79" s="1"/>
  <c r="H141" i="79"/>
  <c r="K140" i="79"/>
  <c r="L140" i="79" s="1"/>
  <c r="H140" i="79"/>
  <c r="G140" i="79"/>
  <c r="K139" i="79"/>
  <c r="L139" i="79" s="1"/>
  <c r="H139" i="79"/>
  <c r="G139" i="79"/>
  <c r="K138" i="79"/>
  <c r="L138" i="79" s="1"/>
  <c r="H138" i="79"/>
  <c r="G138" i="79"/>
  <c r="K137" i="79"/>
  <c r="L137" i="79" s="1"/>
  <c r="H137" i="79"/>
  <c r="G137" i="79"/>
  <c r="K136" i="79"/>
  <c r="L136" i="79" s="1"/>
  <c r="H136" i="79"/>
  <c r="G136" i="79"/>
  <c r="K135" i="79"/>
  <c r="L135" i="79" s="1"/>
  <c r="H135" i="79"/>
  <c r="G135" i="79"/>
  <c r="K134" i="79"/>
  <c r="L134" i="79" s="1"/>
  <c r="H134" i="79"/>
  <c r="F133" i="79"/>
  <c r="D133" i="79"/>
  <c r="C133" i="79"/>
  <c r="K132" i="79"/>
  <c r="L132" i="79" s="1"/>
  <c r="H132" i="79"/>
  <c r="I132" i="79" s="1"/>
  <c r="K131" i="79"/>
  <c r="L131" i="79" s="1"/>
  <c r="H131" i="79"/>
  <c r="I131" i="79" s="1"/>
  <c r="K130" i="79"/>
  <c r="H130" i="79"/>
  <c r="I130" i="79" s="1"/>
  <c r="F129" i="79"/>
  <c r="D129" i="79"/>
  <c r="C129" i="79"/>
  <c r="K128" i="79"/>
  <c r="L128" i="79" s="1"/>
  <c r="H128" i="79"/>
  <c r="G128" i="79"/>
  <c r="K127" i="79"/>
  <c r="L127" i="79" s="1"/>
  <c r="H127" i="79"/>
  <c r="G127" i="79"/>
  <c r="K126" i="79"/>
  <c r="L126" i="79" s="1"/>
  <c r="H126" i="79"/>
  <c r="G126" i="79"/>
  <c r="K125" i="79"/>
  <c r="L125" i="79" s="1"/>
  <c r="H125" i="79"/>
  <c r="G125" i="79"/>
  <c r="K124" i="79"/>
  <c r="L124" i="79" s="1"/>
  <c r="H124" i="79"/>
  <c r="F123" i="79"/>
  <c r="D123" i="79"/>
  <c r="C123" i="79"/>
  <c r="K118" i="79"/>
  <c r="L118" i="79" s="1"/>
  <c r="H118" i="79"/>
  <c r="G118" i="79"/>
  <c r="K117" i="79"/>
  <c r="L117" i="79" s="1"/>
  <c r="H117" i="79"/>
  <c r="G117" i="79"/>
  <c r="K116" i="79"/>
  <c r="L116" i="79" s="1"/>
  <c r="H116" i="79"/>
  <c r="I116" i="79" s="1"/>
  <c r="K115" i="79"/>
  <c r="L115" i="79" s="1"/>
  <c r="H115" i="79"/>
  <c r="I115" i="79" s="1"/>
  <c r="K114" i="79"/>
  <c r="L114" i="79" s="1"/>
  <c r="H114" i="79"/>
  <c r="I114" i="79" s="1"/>
  <c r="F113" i="79"/>
  <c r="D113" i="79"/>
  <c r="C113" i="79"/>
  <c r="K112" i="79"/>
  <c r="L112" i="79" s="1"/>
  <c r="H112" i="79"/>
  <c r="K111" i="79"/>
  <c r="L111" i="79" s="1"/>
  <c r="H111" i="79"/>
  <c r="K110" i="79"/>
  <c r="L110" i="79" s="1"/>
  <c r="H110" i="79"/>
  <c r="F109" i="79"/>
  <c r="D109" i="79"/>
  <c r="C109" i="79"/>
  <c r="K108" i="79"/>
  <c r="L108" i="79" s="1"/>
  <c r="H108" i="79"/>
  <c r="I108" i="79" s="1"/>
  <c r="I107" i="79" s="1"/>
  <c r="F107" i="79"/>
  <c r="D107" i="79"/>
  <c r="C107" i="79"/>
  <c r="K105" i="79"/>
  <c r="L105" i="79" s="1"/>
  <c r="H105" i="79"/>
  <c r="K104" i="79"/>
  <c r="L104" i="79" s="1"/>
  <c r="H104" i="79"/>
  <c r="K103" i="79"/>
  <c r="L103" i="79" s="1"/>
  <c r="H103" i="79"/>
  <c r="K102" i="79"/>
  <c r="L102" i="79" s="1"/>
  <c r="H102" i="79"/>
  <c r="K101" i="79"/>
  <c r="L101" i="79" s="1"/>
  <c r="H101" i="79"/>
  <c r="K100" i="79"/>
  <c r="H100" i="79"/>
  <c r="H99" i="79" s="1"/>
  <c r="K98" i="79"/>
  <c r="L98" i="79" s="1"/>
  <c r="H98" i="79"/>
  <c r="I98" i="79" s="1"/>
  <c r="K97" i="79"/>
  <c r="L97" i="79" s="1"/>
  <c r="H97" i="79"/>
  <c r="I97" i="79" s="1"/>
  <c r="K96" i="79"/>
  <c r="L96" i="79" s="1"/>
  <c r="H96" i="79"/>
  <c r="I96" i="79" s="1"/>
  <c r="K95" i="79"/>
  <c r="L95" i="79" s="1"/>
  <c r="H95" i="79"/>
  <c r="I95" i="79" s="1"/>
  <c r="K94" i="79"/>
  <c r="L94" i="79" s="1"/>
  <c r="H94" i="79"/>
  <c r="I94" i="79" s="1"/>
  <c r="K93" i="79"/>
  <c r="L93" i="79" s="1"/>
  <c r="H93" i="79"/>
  <c r="I93" i="79" s="1"/>
  <c r="K92" i="79"/>
  <c r="L92" i="79" s="1"/>
  <c r="H92" i="79"/>
  <c r="I92" i="79" s="1"/>
  <c r="K91" i="79"/>
  <c r="L91" i="79" s="1"/>
  <c r="H91" i="79"/>
  <c r="K90" i="79"/>
  <c r="L90" i="79" s="1"/>
  <c r="H90" i="79"/>
  <c r="I90" i="79" s="1"/>
  <c r="D89" i="79"/>
  <c r="C89" i="79"/>
  <c r="K88" i="79"/>
  <c r="L88" i="79" s="1"/>
  <c r="H88" i="79"/>
  <c r="K87" i="79"/>
  <c r="L87" i="79" s="1"/>
  <c r="H87" i="79"/>
  <c r="F86" i="79"/>
  <c r="D86" i="79"/>
  <c r="C86" i="79"/>
  <c r="K85" i="79"/>
  <c r="L85" i="79" s="1"/>
  <c r="H85" i="79"/>
  <c r="I85" i="79" s="1"/>
  <c r="K84" i="79"/>
  <c r="L84" i="79" s="1"/>
  <c r="H84" i="79"/>
  <c r="I84" i="79" s="1"/>
  <c r="K83" i="79"/>
  <c r="L83" i="79" s="1"/>
  <c r="H83" i="79"/>
  <c r="I83" i="79" s="1"/>
  <c r="K82" i="79"/>
  <c r="L82" i="79" s="1"/>
  <c r="H82" i="79"/>
  <c r="I82" i="79" s="1"/>
  <c r="K81" i="79"/>
  <c r="L81" i="79" s="1"/>
  <c r="H81" i="79"/>
  <c r="I81" i="79" s="1"/>
  <c r="K80" i="79"/>
  <c r="H80" i="79"/>
  <c r="I80" i="79" s="1"/>
  <c r="F79" i="79"/>
  <c r="D79" i="79"/>
  <c r="C79" i="79"/>
  <c r="L78" i="79"/>
  <c r="M78" i="79" s="1"/>
  <c r="K75" i="79"/>
  <c r="L75" i="79" s="1"/>
  <c r="H75" i="79"/>
  <c r="K74" i="79"/>
  <c r="L74" i="79" s="1"/>
  <c r="H74" i="79"/>
  <c r="K73" i="79"/>
  <c r="L73" i="79" s="1"/>
  <c r="H73" i="79"/>
  <c r="K71" i="79"/>
  <c r="L71" i="79" s="1"/>
  <c r="H71" i="79"/>
  <c r="K70" i="79"/>
  <c r="L70" i="79" s="1"/>
  <c r="H70" i="79"/>
  <c r="F69" i="79"/>
  <c r="D69" i="79"/>
  <c r="C69" i="79"/>
  <c r="K68" i="79"/>
  <c r="H68" i="79"/>
  <c r="I68" i="79" s="1"/>
  <c r="K67" i="79"/>
  <c r="L67" i="79" s="1"/>
  <c r="H67" i="79"/>
  <c r="I67" i="79" s="1"/>
  <c r="K66" i="79"/>
  <c r="H66" i="79"/>
  <c r="I66" i="79" s="1"/>
  <c r="K65" i="79"/>
  <c r="H65" i="79"/>
  <c r="I65" i="79" s="1"/>
  <c r="K64" i="79"/>
  <c r="L64" i="79" s="1"/>
  <c r="H64" i="79"/>
  <c r="I64" i="79" s="1"/>
  <c r="K63" i="79"/>
  <c r="L63" i="79" s="1"/>
  <c r="H63" i="79"/>
  <c r="I63" i="79" s="1"/>
  <c r="K62" i="79"/>
  <c r="L62" i="79" s="1"/>
  <c r="H62" i="79"/>
  <c r="K61" i="79"/>
  <c r="H61" i="79"/>
  <c r="I61" i="79" s="1"/>
  <c r="K60" i="79"/>
  <c r="L60" i="79" s="1"/>
  <c r="H60" i="79"/>
  <c r="I60" i="79" s="1"/>
  <c r="K59" i="79"/>
  <c r="L59" i="79" s="1"/>
  <c r="H59" i="79"/>
  <c r="I59" i="79" s="1"/>
  <c r="K58" i="79"/>
  <c r="L58" i="79" s="1"/>
  <c r="H58" i="79"/>
  <c r="I58" i="79" s="1"/>
  <c r="K57" i="79"/>
  <c r="L57" i="79" s="1"/>
  <c r="H57" i="79"/>
  <c r="I57" i="79" s="1"/>
  <c r="K56" i="79"/>
  <c r="L56" i="79" s="1"/>
  <c r="H56" i="79"/>
  <c r="I56" i="79" s="1"/>
  <c r="K55" i="79"/>
  <c r="L55" i="79" s="1"/>
  <c r="H55" i="79"/>
  <c r="I55" i="79" s="1"/>
  <c r="K54" i="79"/>
  <c r="L54" i="79" s="1"/>
  <c r="H54" i="79"/>
  <c r="I54" i="79" s="1"/>
  <c r="K53" i="79"/>
  <c r="L53" i="79" s="1"/>
  <c r="H53" i="79"/>
  <c r="I53" i="79" s="1"/>
  <c r="K52" i="79"/>
  <c r="L52" i="79" s="1"/>
  <c r="H52" i="79"/>
  <c r="I52" i="79" s="1"/>
  <c r="K51" i="79"/>
  <c r="L51" i="79" s="1"/>
  <c r="H51" i="79"/>
  <c r="K50" i="79"/>
  <c r="L50" i="79" s="1"/>
  <c r="H50" i="79"/>
  <c r="K49" i="79"/>
  <c r="L49" i="79" s="1"/>
  <c r="H49" i="79"/>
  <c r="K48" i="79"/>
  <c r="L48" i="79" s="1"/>
  <c r="H48" i="79"/>
  <c r="K47" i="79"/>
  <c r="H47" i="79"/>
  <c r="K46" i="79"/>
  <c r="L46" i="79" s="1"/>
  <c r="H46" i="79"/>
  <c r="K45" i="79"/>
  <c r="L45" i="79" s="1"/>
  <c r="H45" i="79"/>
  <c r="K44" i="79"/>
  <c r="L44" i="79" s="1"/>
  <c r="H44" i="79"/>
  <c r="K43" i="79"/>
  <c r="H43" i="79"/>
  <c r="K42" i="79"/>
  <c r="L42" i="79" s="1"/>
  <c r="H42" i="79"/>
  <c r="K41" i="79"/>
  <c r="H41" i="79"/>
  <c r="K40" i="79"/>
  <c r="L40" i="79" s="1"/>
  <c r="H40" i="79"/>
  <c r="K38" i="79"/>
  <c r="L38" i="79" s="1"/>
  <c r="H38" i="79"/>
  <c r="K37" i="79"/>
  <c r="L37" i="79" s="1"/>
  <c r="H37" i="79"/>
  <c r="K36" i="79"/>
  <c r="L36" i="79" s="1"/>
  <c r="H36" i="79"/>
  <c r="F35" i="79"/>
  <c r="D35" i="79"/>
  <c r="C35" i="79"/>
  <c r="K34" i="79"/>
  <c r="L34" i="79" s="1"/>
  <c r="H34" i="79"/>
  <c r="G34" i="79"/>
  <c r="K33" i="79"/>
  <c r="L33" i="79" s="1"/>
  <c r="H33" i="79"/>
  <c r="G33" i="79"/>
  <c r="K32" i="79"/>
  <c r="L32" i="79" s="1"/>
  <c r="H32" i="79"/>
  <c r="G32" i="79"/>
  <c r="K31" i="79"/>
  <c r="L31" i="79" s="1"/>
  <c r="H31" i="79"/>
  <c r="G31" i="79"/>
  <c r="K30" i="79"/>
  <c r="L30" i="79" s="1"/>
  <c r="H30" i="79"/>
  <c r="G30" i="79"/>
  <c r="K29" i="79"/>
  <c r="L29" i="79" s="1"/>
  <c r="H29" i="79"/>
  <c r="G29" i="79"/>
  <c r="K28" i="79"/>
  <c r="L28" i="79" s="1"/>
  <c r="H28" i="79"/>
  <c r="I28" i="79" s="1"/>
  <c r="K27" i="79"/>
  <c r="L27" i="79" s="1"/>
  <c r="H27" i="79"/>
  <c r="I27" i="79" s="1"/>
  <c r="F26" i="79"/>
  <c r="D26" i="79"/>
  <c r="C26" i="79"/>
  <c r="K25" i="79"/>
  <c r="L25" i="79" s="1"/>
  <c r="H25" i="79"/>
  <c r="G25" i="79"/>
  <c r="K24" i="79"/>
  <c r="H24" i="79"/>
  <c r="G24" i="79"/>
  <c r="K23" i="79"/>
  <c r="H23" i="79"/>
  <c r="G23" i="79"/>
  <c r="K22" i="79"/>
  <c r="H22" i="79"/>
  <c r="G22" i="79"/>
  <c r="K21" i="79"/>
  <c r="L21" i="79" s="1"/>
  <c r="H21" i="79"/>
  <c r="G21" i="79"/>
  <c r="K20" i="79"/>
  <c r="H20" i="79"/>
  <c r="G20" i="79"/>
  <c r="K19" i="79"/>
  <c r="L19" i="79" s="1"/>
  <c r="H19" i="79"/>
  <c r="G19" i="79"/>
  <c r="K18" i="79"/>
  <c r="L18" i="79" s="1"/>
  <c r="H18" i="79"/>
  <c r="G18" i="79"/>
  <c r="K17" i="79"/>
  <c r="L17" i="79" s="1"/>
  <c r="H17" i="79"/>
  <c r="G17" i="79"/>
  <c r="K16" i="79"/>
  <c r="L16" i="79" s="1"/>
  <c r="H16" i="79"/>
  <c r="G16" i="79"/>
  <c r="K15" i="79"/>
  <c r="L15" i="79" s="1"/>
  <c r="H15" i="79"/>
  <c r="I15" i="79" s="1"/>
  <c r="F14" i="79"/>
  <c r="D14" i="79"/>
  <c r="C14" i="79"/>
  <c r="K13" i="79"/>
  <c r="L13" i="79" s="1"/>
  <c r="L12" i="79" s="1"/>
  <c r="H13" i="79"/>
  <c r="H12" i="79" s="1"/>
  <c r="F12" i="79"/>
  <c r="D12" i="79"/>
  <c r="C12" i="79"/>
  <c r="K11" i="79"/>
  <c r="L11" i="79" s="1"/>
  <c r="H11" i="79"/>
  <c r="I11" i="79" s="1"/>
  <c r="I10" i="79" s="1"/>
  <c r="F10" i="79"/>
  <c r="D10" i="79"/>
  <c r="C10" i="79"/>
  <c r="M211" i="78"/>
  <c r="K209" i="78"/>
  <c r="L209" i="78" s="1"/>
  <c r="H209" i="78"/>
  <c r="I209" i="78" s="1"/>
  <c r="I208" i="78" s="1"/>
  <c r="I211" i="78" s="1"/>
  <c r="F208" i="78"/>
  <c r="F211" i="78" s="1"/>
  <c r="D208" i="78"/>
  <c r="D211" i="78" s="1"/>
  <c r="C208" i="78"/>
  <c r="C211" i="78" s="1"/>
  <c r="K203" i="78"/>
  <c r="H203" i="78"/>
  <c r="I203" i="78" s="1"/>
  <c r="K201" i="78"/>
  <c r="L201" i="78" s="1"/>
  <c r="H201" i="78"/>
  <c r="I201" i="78" s="1"/>
  <c r="K200" i="78"/>
  <c r="L200" i="78" s="1"/>
  <c r="H200" i="78"/>
  <c r="I200" i="78" s="1"/>
  <c r="K199" i="78"/>
  <c r="L199" i="78" s="1"/>
  <c r="H199" i="78"/>
  <c r="I199" i="78" s="1"/>
  <c r="F198" i="78"/>
  <c r="D198" i="78"/>
  <c r="C198" i="78"/>
  <c r="K197" i="78"/>
  <c r="L197" i="78" s="1"/>
  <c r="L196" i="78" s="1"/>
  <c r="H197" i="78"/>
  <c r="H196" i="78" s="1"/>
  <c r="F196" i="78"/>
  <c r="D196" i="78"/>
  <c r="C196" i="78"/>
  <c r="K195" i="78"/>
  <c r="L195" i="78" s="1"/>
  <c r="L194" i="78" s="1"/>
  <c r="H195" i="78"/>
  <c r="I195" i="78" s="1"/>
  <c r="I194" i="78" s="1"/>
  <c r="M194" i="78"/>
  <c r="K194" i="78"/>
  <c r="F194" i="78"/>
  <c r="D194" i="78"/>
  <c r="C194" i="78"/>
  <c r="K193" i="78"/>
  <c r="L193" i="78" s="1"/>
  <c r="H193" i="78"/>
  <c r="I193" i="78" s="1"/>
  <c r="K192" i="78"/>
  <c r="L192" i="78" s="1"/>
  <c r="H192" i="78"/>
  <c r="I192" i="78" s="1"/>
  <c r="K191" i="78"/>
  <c r="L191" i="78" s="1"/>
  <c r="H191" i="78"/>
  <c r="I191" i="78" s="1"/>
  <c r="K190" i="78"/>
  <c r="L190" i="78" s="1"/>
  <c r="H190" i="78"/>
  <c r="I190" i="78" s="1"/>
  <c r="F189" i="78"/>
  <c r="D189" i="78"/>
  <c r="C189" i="78"/>
  <c r="K188" i="78"/>
  <c r="L188" i="78" s="1"/>
  <c r="H188" i="78"/>
  <c r="G188" i="78"/>
  <c r="K187" i="78"/>
  <c r="L187" i="78" s="1"/>
  <c r="H187" i="78"/>
  <c r="G187" i="78"/>
  <c r="K186" i="78"/>
  <c r="H186" i="78"/>
  <c r="K185" i="78"/>
  <c r="L185" i="78" s="1"/>
  <c r="H185" i="78"/>
  <c r="F184" i="78"/>
  <c r="D184" i="78"/>
  <c r="C184" i="78"/>
  <c r="K179" i="78"/>
  <c r="L179" i="78" s="1"/>
  <c r="H179" i="78"/>
  <c r="G179" i="78"/>
  <c r="K178" i="78"/>
  <c r="L178" i="78" s="1"/>
  <c r="H178" i="78"/>
  <c r="G178" i="78"/>
  <c r="K177" i="78"/>
  <c r="L177" i="78" s="1"/>
  <c r="H177" i="78"/>
  <c r="G177" i="78"/>
  <c r="F176" i="78"/>
  <c r="F181" i="78" s="1"/>
  <c r="D176" i="78"/>
  <c r="D181" i="78" s="1"/>
  <c r="C176" i="78"/>
  <c r="C181" i="78" s="1"/>
  <c r="K171" i="78"/>
  <c r="L171" i="78" s="1"/>
  <c r="H171" i="78"/>
  <c r="I171" i="78" s="1"/>
  <c r="K170" i="78"/>
  <c r="L170" i="78" s="1"/>
  <c r="H170" i="78"/>
  <c r="I170" i="78" s="1"/>
  <c r="K168" i="78"/>
  <c r="H168" i="78"/>
  <c r="I168" i="78" s="1"/>
  <c r="F167" i="78"/>
  <c r="D167" i="78"/>
  <c r="C167" i="78"/>
  <c r="K166" i="78"/>
  <c r="L166" i="78" s="1"/>
  <c r="H166" i="78"/>
  <c r="K165" i="78"/>
  <c r="L165" i="78" s="1"/>
  <c r="H165" i="78"/>
  <c r="K164" i="78"/>
  <c r="L164" i="78" s="1"/>
  <c r="H164" i="78"/>
  <c r="K163" i="78"/>
  <c r="L163" i="78" s="1"/>
  <c r="H163" i="78"/>
  <c r="F162" i="78"/>
  <c r="D162" i="78"/>
  <c r="C162" i="78"/>
  <c r="K161" i="78"/>
  <c r="L161" i="78" s="1"/>
  <c r="H161" i="78"/>
  <c r="I161" i="78" s="1"/>
  <c r="K159" i="78"/>
  <c r="H159" i="78"/>
  <c r="I159" i="78" s="1"/>
  <c r="F157" i="78"/>
  <c r="D157" i="78"/>
  <c r="C157" i="78"/>
  <c r="K156" i="78"/>
  <c r="L156" i="78" s="1"/>
  <c r="L155" i="78" s="1"/>
  <c r="H156" i="78"/>
  <c r="H155" i="78" s="1"/>
  <c r="F155" i="78"/>
  <c r="D155" i="78"/>
  <c r="C155" i="78"/>
  <c r="K154" i="78"/>
  <c r="L154" i="78" s="1"/>
  <c r="H154" i="78"/>
  <c r="I154" i="78" s="1"/>
  <c r="K153" i="78"/>
  <c r="L153" i="78" s="1"/>
  <c r="H153" i="78"/>
  <c r="I153" i="78" s="1"/>
  <c r="K152" i="78"/>
  <c r="L152" i="78" s="1"/>
  <c r="H152" i="78"/>
  <c r="I152" i="78" s="1"/>
  <c r="K151" i="78"/>
  <c r="L151" i="78" s="1"/>
  <c r="H151" i="78"/>
  <c r="I151" i="78" s="1"/>
  <c r="K150" i="78"/>
  <c r="L150" i="78" s="1"/>
  <c r="H150" i="78"/>
  <c r="I150" i="78" s="1"/>
  <c r="K149" i="78"/>
  <c r="L149" i="78" s="1"/>
  <c r="H149" i="78"/>
  <c r="I149" i="78" s="1"/>
  <c r="K148" i="78"/>
  <c r="L148" i="78" s="1"/>
  <c r="H148" i="78"/>
  <c r="I148" i="78" s="1"/>
  <c r="K147" i="78"/>
  <c r="L147" i="78" s="1"/>
  <c r="H147" i="78"/>
  <c r="I147" i="78" s="1"/>
  <c r="F146" i="78"/>
  <c r="D146" i="78"/>
  <c r="C146" i="78"/>
  <c r="K145" i="78"/>
  <c r="L145" i="78" s="1"/>
  <c r="H145" i="78"/>
  <c r="K144" i="78"/>
  <c r="L144" i="78" s="1"/>
  <c r="H144" i="78"/>
  <c r="K143" i="78"/>
  <c r="L143" i="78" s="1"/>
  <c r="H143" i="78"/>
  <c r="K142" i="78"/>
  <c r="L142" i="78" s="1"/>
  <c r="H142" i="78"/>
  <c r="K141" i="78"/>
  <c r="L141" i="78" s="1"/>
  <c r="H141" i="78"/>
  <c r="F140" i="78"/>
  <c r="D140" i="78"/>
  <c r="C140" i="78"/>
  <c r="K139" i="78"/>
  <c r="L139" i="78" s="1"/>
  <c r="H139" i="78"/>
  <c r="I139" i="78" s="1"/>
  <c r="K138" i="78"/>
  <c r="L138" i="78" s="1"/>
  <c r="H138" i="78"/>
  <c r="I138" i="78" s="1"/>
  <c r="K137" i="78"/>
  <c r="L137" i="78" s="1"/>
  <c r="H137" i="78"/>
  <c r="I137" i="78" s="1"/>
  <c r="K136" i="78"/>
  <c r="L136" i="78" s="1"/>
  <c r="H136" i="78"/>
  <c r="I136" i="78" s="1"/>
  <c r="K135" i="78"/>
  <c r="L135" i="78" s="1"/>
  <c r="H135" i="78"/>
  <c r="I135" i="78" s="1"/>
  <c r="K134" i="78"/>
  <c r="L134" i="78" s="1"/>
  <c r="H134" i="78"/>
  <c r="I134" i="78" s="1"/>
  <c r="K133" i="78"/>
  <c r="L133" i="78" s="1"/>
  <c r="H133" i="78"/>
  <c r="I133" i="78" s="1"/>
  <c r="K132" i="78"/>
  <c r="L132" i="78" s="1"/>
  <c r="H132" i="78"/>
  <c r="I132" i="78" s="1"/>
  <c r="K131" i="78"/>
  <c r="L131" i="78" s="1"/>
  <c r="H131" i="78"/>
  <c r="I131" i="78" s="1"/>
  <c r="K130" i="78"/>
  <c r="L130" i="78" s="1"/>
  <c r="H130" i="78"/>
  <c r="I130" i="78" s="1"/>
  <c r="F129" i="78"/>
  <c r="D129" i="78"/>
  <c r="C129" i="78"/>
  <c r="K128" i="78"/>
  <c r="L128" i="78" s="1"/>
  <c r="H128" i="78"/>
  <c r="G128" i="78"/>
  <c r="K127" i="78"/>
  <c r="L127" i="78" s="1"/>
  <c r="H127" i="78"/>
  <c r="G127" i="78"/>
  <c r="K126" i="78"/>
  <c r="L126" i="78" s="1"/>
  <c r="H126" i="78"/>
  <c r="F125" i="78"/>
  <c r="D125" i="78"/>
  <c r="C125" i="78"/>
  <c r="K124" i="78"/>
  <c r="L124" i="78" s="1"/>
  <c r="H124" i="78"/>
  <c r="I124" i="78" s="1"/>
  <c r="K123" i="78"/>
  <c r="L123" i="78" s="1"/>
  <c r="H123" i="78"/>
  <c r="I123" i="78" s="1"/>
  <c r="K122" i="78"/>
  <c r="L122" i="78" s="1"/>
  <c r="H122" i="78"/>
  <c r="I122" i="78" s="1"/>
  <c r="K121" i="78"/>
  <c r="L121" i="78" s="1"/>
  <c r="H121" i="78"/>
  <c r="I121" i="78" s="1"/>
  <c r="K120" i="78"/>
  <c r="L120" i="78" s="1"/>
  <c r="H120" i="78"/>
  <c r="I120" i="78" s="1"/>
  <c r="F119" i="78"/>
  <c r="D119" i="78"/>
  <c r="C119" i="78"/>
  <c r="K114" i="78"/>
  <c r="L114" i="78" s="1"/>
  <c r="H114" i="78"/>
  <c r="I114" i="78" s="1"/>
  <c r="K113" i="78"/>
  <c r="L113" i="78" s="1"/>
  <c r="H113" i="78"/>
  <c r="I113" i="78" s="1"/>
  <c r="K112" i="78"/>
  <c r="L112" i="78" s="1"/>
  <c r="H112" i="78"/>
  <c r="I112" i="78" s="1"/>
  <c r="K111" i="78"/>
  <c r="L111" i="78" s="1"/>
  <c r="H111" i="78"/>
  <c r="I111" i="78" s="1"/>
  <c r="K110" i="78"/>
  <c r="L110" i="78" s="1"/>
  <c r="H110" i="78"/>
  <c r="I110" i="78" s="1"/>
  <c r="F109" i="78"/>
  <c r="D109" i="78"/>
  <c r="C109" i="78"/>
  <c r="K108" i="78"/>
  <c r="L108" i="78" s="1"/>
  <c r="H108" i="78"/>
  <c r="G108" i="78"/>
  <c r="K107" i="78"/>
  <c r="L107" i="78" s="1"/>
  <c r="H107" i="78"/>
  <c r="G107" i="78"/>
  <c r="K106" i="78"/>
  <c r="L106" i="78" s="1"/>
  <c r="H106" i="78"/>
  <c r="G106" i="78"/>
  <c r="F105" i="78"/>
  <c r="D105" i="78"/>
  <c r="C105" i="78"/>
  <c r="K104" i="78"/>
  <c r="L104" i="78" s="1"/>
  <c r="L103" i="78" s="1"/>
  <c r="H104" i="78"/>
  <c r="H103" i="78" s="1"/>
  <c r="F103" i="78"/>
  <c r="D103" i="78"/>
  <c r="C103" i="78"/>
  <c r="K102" i="78"/>
  <c r="L102" i="78" s="1"/>
  <c r="H102" i="78"/>
  <c r="I102" i="78" s="1"/>
  <c r="K100" i="78"/>
  <c r="L100" i="78" s="1"/>
  <c r="H100" i="78"/>
  <c r="I100" i="78" s="1"/>
  <c r="K99" i="78"/>
  <c r="L99" i="78" s="1"/>
  <c r="H99" i="78"/>
  <c r="I99" i="78" s="1"/>
  <c r="K98" i="78"/>
  <c r="L98" i="78" s="1"/>
  <c r="H98" i="78"/>
  <c r="I98" i="78" s="1"/>
  <c r="K97" i="78"/>
  <c r="L97" i="78" s="1"/>
  <c r="H97" i="78"/>
  <c r="I97" i="78" s="1"/>
  <c r="K96" i="78"/>
  <c r="L96" i="78" s="1"/>
  <c r="H96" i="78"/>
  <c r="I96" i="78" s="1"/>
  <c r="F95" i="78"/>
  <c r="D95" i="78"/>
  <c r="C95" i="78"/>
  <c r="K94" i="78"/>
  <c r="L94" i="78" s="1"/>
  <c r="H94" i="78"/>
  <c r="K93" i="78"/>
  <c r="L93" i="78" s="1"/>
  <c r="H93" i="78"/>
  <c r="K92" i="78"/>
  <c r="L92" i="78" s="1"/>
  <c r="H92" i="78"/>
  <c r="K91" i="78"/>
  <c r="L91" i="78" s="1"/>
  <c r="H91" i="78"/>
  <c r="K90" i="78"/>
  <c r="L90" i="78" s="1"/>
  <c r="H90" i="78"/>
  <c r="K89" i="78"/>
  <c r="L89" i="78" s="1"/>
  <c r="H89" i="78"/>
  <c r="K88" i="78"/>
  <c r="L88" i="78" s="1"/>
  <c r="H88" i="78"/>
  <c r="K87" i="78"/>
  <c r="L87" i="78" s="1"/>
  <c r="H87" i="78"/>
  <c r="K86" i="78"/>
  <c r="L86" i="78" s="1"/>
  <c r="H86" i="78"/>
  <c r="F85" i="78"/>
  <c r="D85" i="78"/>
  <c r="C85" i="78"/>
  <c r="K84" i="78"/>
  <c r="L84" i="78" s="1"/>
  <c r="H84" i="78"/>
  <c r="I84" i="78" s="1"/>
  <c r="K83" i="78"/>
  <c r="H83" i="78"/>
  <c r="I83" i="78" s="1"/>
  <c r="F82" i="78"/>
  <c r="D82" i="78"/>
  <c r="C82" i="78"/>
  <c r="K81" i="78"/>
  <c r="L81" i="78" s="1"/>
  <c r="H81" i="78"/>
  <c r="K80" i="78"/>
  <c r="L80" i="78" s="1"/>
  <c r="H80" i="78"/>
  <c r="K79" i="78"/>
  <c r="L79" i="78" s="1"/>
  <c r="H79" i="78"/>
  <c r="K78" i="78"/>
  <c r="L78" i="78" s="1"/>
  <c r="H78" i="78"/>
  <c r="K77" i="78"/>
  <c r="L77" i="78" s="1"/>
  <c r="H77" i="78"/>
  <c r="K76" i="78"/>
  <c r="L76" i="78" s="1"/>
  <c r="H76" i="78"/>
  <c r="F75" i="78"/>
  <c r="D75" i="78"/>
  <c r="C75" i="78"/>
  <c r="L74" i="78"/>
  <c r="M74" i="78" s="1"/>
  <c r="K71" i="78"/>
  <c r="L71" i="78" s="1"/>
  <c r="H71" i="78"/>
  <c r="I71" i="78" s="1"/>
  <c r="K70" i="78"/>
  <c r="L70" i="78" s="1"/>
  <c r="H70" i="78"/>
  <c r="I70" i="78" s="1"/>
  <c r="K69" i="78"/>
  <c r="L69" i="78" s="1"/>
  <c r="H69" i="78"/>
  <c r="I69" i="78" s="1"/>
  <c r="K68" i="78"/>
  <c r="L68" i="78" s="1"/>
  <c r="H68" i="78"/>
  <c r="I68" i="78" s="1"/>
  <c r="K67" i="78"/>
  <c r="L67" i="78" s="1"/>
  <c r="H67" i="78"/>
  <c r="I67" i="78" s="1"/>
  <c r="F66" i="78"/>
  <c r="D66" i="78"/>
  <c r="C66" i="78"/>
  <c r="K65" i="78"/>
  <c r="L65" i="78" s="1"/>
  <c r="H65" i="78"/>
  <c r="K64" i="78"/>
  <c r="L64" i="78" s="1"/>
  <c r="H64" i="78"/>
  <c r="K63" i="78"/>
  <c r="L63" i="78" s="1"/>
  <c r="H63" i="78"/>
  <c r="K62" i="78"/>
  <c r="L62" i="78" s="1"/>
  <c r="H62" i="78"/>
  <c r="K61" i="78"/>
  <c r="L61" i="78" s="1"/>
  <c r="H61" i="78"/>
  <c r="K60" i="78"/>
  <c r="L60" i="78" s="1"/>
  <c r="H60" i="78"/>
  <c r="K59" i="78"/>
  <c r="L59" i="78" s="1"/>
  <c r="H59" i="78"/>
  <c r="K58" i="78"/>
  <c r="L58" i="78" s="1"/>
  <c r="H58" i="78"/>
  <c r="K57" i="78"/>
  <c r="L57" i="78" s="1"/>
  <c r="H57" i="78"/>
  <c r="K56" i="78"/>
  <c r="L56" i="78" s="1"/>
  <c r="H56" i="78"/>
  <c r="K55" i="78"/>
  <c r="L55" i="78" s="1"/>
  <c r="H55" i="78"/>
  <c r="K54" i="78"/>
  <c r="L54" i="78" s="1"/>
  <c r="H54" i="78"/>
  <c r="K53" i="78"/>
  <c r="L53" i="78" s="1"/>
  <c r="H53" i="78"/>
  <c r="K52" i="78"/>
  <c r="L52" i="78" s="1"/>
  <c r="H52" i="78"/>
  <c r="K51" i="78"/>
  <c r="L51" i="78" s="1"/>
  <c r="H51" i="78"/>
  <c r="K50" i="78"/>
  <c r="L50" i="78" s="1"/>
  <c r="H50" i="78"/>
  <c r="K49" i="78"/>
  <c r="L49" i="78" s="1"/>
  <c r="H49" i="78"/>
  <c r="K48" i="78"/>
  <c r="L48" i="78" s="1"/>
  <c r="H48" i="78"/>
  <c r="K47" i="78"/>
  <c r="L47" i="78" s="1"/>
  <c r="H47" i="78"/>
  <c r="K46" i="78"/>
  <c r="L46" i="78" s="1"/>
  <c r="H46" i="78"/>
  <c r="K45" i="78"/>
  <c r="L45" i="78" s="1"/>
  <c r="H45" i="78"/>
  <c r="K44" i="78"/>
  <c r="L44" i="78" s="1"/>
  <c r="H44" i="78"/>
  <c r="K43" i="78"/>
  <c r="L43" i="78" s="1"/>
  <c r="H43" i="78"/>
  <c r="K42" i="78"/>
  <c r="L42" i="78" s="1"/>
  <c r="H42" i="78"/>
  <c r="K40" i="78"/>
  <c r="L40" i="78" s="1"/>
  <c r="H40" i="78"/>
  <c r="K39" i="78"/>
  <c r="L39" i="78" s="1"/>
  <c r="H39" i="78"/>
  <c r="K38" i="78"/>
  <c r="L38" i="78" s="1"/>
  <c r="H38" i="78"/>
  <c r="K37" i="78"/>
  <c r="L37" i="78" s="1"/>
  <c r="H37" i="78"/>
  <c r="K36" i="78"/>
  <c r="L36" i="78" s="1"/>
  <c r="H36" i="78"/>
  <c r="K35" i="78"/>
  <c r="L35" i="78" s="1"/>
  <c r="H35" i="78"/>
  <c r="G35" i="78"/>
  <c r="F34" i="78"/>
  <c r="D34" i="78"/>
  <c r="C34" i="78"/>
  <c r="K33" i="78"/>
  <c r="L33" i="78" s="1"/>
  <c r="H33" i="78"/>
  <c r="I33" i="78" s="1"/>
  <c r="K32" i="78"/>
  <c r="L32" i="78" s="1"/>
  <c r="H32" i="78"/>
  <c r="I32" i="78" s="1"/>
  <c r="K31" i="78"/>
  <c r="L31" i="78" s="1"/>
  <c r="H31" i="78"/>
  <c r="I31" i="78" s="1"/>
  <c r="K30" i="78"/>
  <c r="L30" i="78" s="1"/>
  <c r="H30" i="78"/>
  <c r="I30" i="78" s="1"/>
  <c r="K29" i="78"/>
  <c r="L29" i="78" s="1"/>
  <c r="H29" i="78"/>
  <c r="I29" i="78" s="1"/>
  <c r="K28" i="78"/>
  <c r="H28" i="78"/>
  <c r="I28" i="78" s="1"/>
  <c r="K27" i="78"/>
  <c r="L27" i="78" s="1"/>
  <c r="H27" i="78"/>
  <c r="I27" i="78" s="1"/>
  <c r="G27" i="78"/>
  <c r="K26" i="78"/>
  <c r="L26" i="78" s="1"/>
  <c r="H26" i="78"/>
  <c r="F25" i="78"/>
  <c r="D25" i="78"/>
  <c r="C25" i="78"/>
  <c r="K24" i="78"/>
  <c r="L24" i="78" s="1"/>
  <c r="H24" i="78"/>
  <c r="I24" i="78" s="1"/>
  <c r="K23" i="78"/>
  <c r="L23" i="78" s="1"/>
  <c r="H23" i="78"/>
  <c r="I23" i="78" s="1"/>
  <c r="K22" i="78"/>
  <c r="L22" i="78" s="1"/>
  <c r="H22" i="78"/>
  <c r="I22" i="78" s="1"/>
  <c r="K21" i="78"/>
  <c r="L21" i="78" s="1"/>
  <c r="H21" i="78"/>
  <c r="I21" i="78" s="1"/>
  <c r="K20" i="78"/>
  <c r="L20" i="78" s="1"/>
  <c r="H20" i="78"/>
  <c r="I20" i="78" s="1"/>
  <c r="K19" i="78"/>
  <c r="L19" i="78" s="1"/>
  <c r="H19" i="78"/>
  <c r="I19" i="78" s="1"/>
  <c r="K18" i="78"/>
  <c r="L18" i="78" s="1"/>
  <c r="H18" i="78"/>
  <c r="I18" i="78" s="1"/>
  <c r="K17" i="78"/>
  <c r="L17" i="78" s="1"/>
  <c r="H17" i="78"/>
  <c r="I17" i="78" s="1"/>
  <c r="K16" i="78"/>
  <c r="L16" i="78" s="1"/>
  <c r="H16" i="78"/>
  <c r="I16" i="78" s="1"/>
  <c r="K15" i="78"/>
  <c r="L15" i="78" s="1"/>
  <c r="H15" i="78"/>
  <c r="I15" i="78" s="1"/>
  <c r="K14" i="78"/>
  <c r="L14" i="78" s="1"/>
  <c r="H14" i="78"/>
  <c r="I14" i="78" s="1"/>
  <c r="F13" i="78"/>
  <c r="D13" i="78"/>
  <c r="C13" i="78"/>
  <c r="K12" i="78"/>
  <c r="L12" i="78" s="1"/>
  <c r="L11" i="78" s="1"/>
  <c r="H12" i="78"/>
  <c r="H11" i="78" s="1"/>
  <c r="F11" i="78"/>
  <c r="D11" i="78"/>
  <c r="C11" i="78"/>
  <c r="K10" i="78"/>
  <c r="L10" i="78" s="1"/>
  <c r="L9" i="78" s="1"/>
  <c r="H10" i="78"/>
  <c r="F9" i="78"/>
  <c r="D9" i="78"/>
  <c r="C9" i="78"/>
  <c r="K215" i="67"/>
  <c r="L215" i="67" s="1"/>
  <c r="L214" i="67" s="1"/>
  <c r="L217" i="67" s="1"/>
  <c r="H215" i="67"/>
  <c r="H214" i="67" s="1"/>
  <c r="H217" i="67" s="1"/>
  <c r="E215" i="67"/>
  <c r="F214" i="67"/>
  <c r="F217" i="67" s="1"/>
  <c r="D214" i="67"/>
  <c r="D217" i="67" s="1"/>
  <c r="C214" i="67"/>
  <c r="C217" i="67" s="1"/>
  <c r="K102" i="67"/>
  <c r="L102" i="67" s="1"/>
  <c r="H102" i="67"/>
  <c r="E102" i="67"/>
  <c r="G102" i="67" s="1"/>
  <c r="K137" i="67"/>
  <c r="L137" i="67" s="1"/>
  <c r="H137" i="67"/>
  <c r="I137" i="67" s="1"/>
  <c r="E137" i="67"/>
  <c r="F111" i="67"/>
  <c r="D111" i="67"/>
  <c r="C111" i="67"/>
  <c r="K116" i="67"/>
  <c r="L116" i="67" s="1"/>
  <c r="H116" i="67"/>
  <c r="I116" i="67" s="1"/>
  <c r="E116" i="67"/>
  <c r="K33" i="67"/>
  <c r="L33" i="67" s="1"/>
  <c r="H33" i="67"/>
  <c r="I33" i="67" s="1"/>
  <c r="L173" i="79" l="1"/>
  <c r="L172" i="79" s="1"/>
  <c r="K172" i="79"/>
  <c r="J196" i="79"/>
  <c r="L195" i="79"/>
  <c r="I62" i="79"/>
  <c r="M62" i="79"/>
  <c r="J198" i="79"/>
  <c r="H200" i="79"/>
  <c r="I204" i="79"/>
  <c r="H208" i="78"/>
  <c r="H211" i="78" s="1"/>
  <c r="H10" i="79"/>
  <c r="M176" i="79"/>
  <c r="G198" i="79"/>
  <c r="J199" i="79"/>
  <c r="J201" i="79"/>
  <c r="J200" i="79" s="1"/>
  <c r="L100" i="79"/>
  <c r="L99" i="79" s="1"/>
  <c r="K99" i="79"/>
  <c r="M110" i="79"/>
  <c r="H129" i="79"/>
  <c r="J131" i="79"/>
  <c r="G131" i="79"/>
  <c r="K109" i="79"/>
  <c r="L133" i="79"/>
  <c r="M111" i="79"/>
  <c r="J64" i="79"/>
  <c r="J173" i="79"/>
  <c r="J15" i="79"/>
  <c r="H35" i="79"/>
  <c r="J47" i="79"/>
  <c r="K10" i="79"/>
  <c r="H75" i="78"/>
  <c r="H109" i="78"/>
  <c r="I109" i="78"/>
  <c r="J121" i="78"/>
  <c r="J123" i="78"/>
  <c r="J147" i="78"/>
  <c r="J149" i="78"/>
  <c r="J151" i="78"/>
  <c r="J153" i="78"/>
  <c r="J11" i="79"/>
  <c r="J10" i="79" s="1"/>
  <c r="J37" i="79"/>
  <c r="M38" i="79"/>
  <c r="J40" i="79"/>
  <c r="J42" i="79"/>
  <c r="M45" i="79"/>
  <c r="J46" i="79"/>
  <c r="I46" i="79"/>
  <c r="G47" i="79"/>
  <c r="J49" i="79"/>
  <c r="J51" i="79"/>
  <c r="J57" i="79"/>
  <c r="J63" i="79"/>
  <c r="K86" i="79"/>
  <c r="H86" i="79"/>
  <c r="J90" i="79"/>
  <c r="J98" i="79"/>
  <c r="J158" i="79"/>
  <c r="K160" i="79"/>
  <c r="K12" i="79"/>
  <c r="G15" i="79"/>
  <c r="J27" i="79"/>
  <c r="J36" i="79"/>
  <c r="G57" i="79"/>
  <c r="J58" i="79"/>
  <c r="J62" i="79"/>
  <c r="G63" i="79"/>
  <c r="G64" i="79"/>
  <c r="J65" i="79"/>
  <c r="J66" i="79"/>
  <c r="J70" i="79"/>
  <c r="H69" i="79"/>
  <c r="J74" i="79"/>
  <c r="G98" i="79"/>
  <c r="M100" i="79"/>
  <c r="M101" i="79"/>
  <c r="M102" i="79"/>
  <c r="M103" i="79"/>
  <c r="M104" i="79"/>
  <c r="M105" i="79"/>
  <c r="K107" i="79"/>
  <c r="H123" i="79"/>
  <c r="H144" i="79"/>
  <c r="K162" i="79"/>
  <c r="H162" i="79"/>
  <c r="J168" i="79"/>
  <c r="J203" i="79"/>
  <c r="J202" i="79" s="1"/>
  <c r="I66" i="78"/>
  <c r="K85" i="78"/>
  <c r="H85" i="78"/>
  <c r="J97" i="78"/>
  <c r="J99" i="78"/>
  <c r="J110" i="78"/>
  <c r="J112" i="78"/>
  <c r="J114" i="78"/>
  <c r="K155" i="78"/>
  <c r="K162" i="78"/>
  <c r="H162" i="78"/>
  <c r="J171" i="78"/>
  <c r="G176" i="78"/>
  <c r="G181" i="78" s="1"/>
  <c r="L176" i="78"/>
  <c r="L181" i="78" s="1"/>
  <c r="J193" i="78"/>
  <c r="K9" i="78"/>
  <c r="M10" i="78"/>
  <c r="M9" i="78" s="1"/>
  <c r="J20" i="78"/>
  <c r="J22" i="78"/>
  <c r="J24" i="78"/>
  <c r="J28" i="78"/>
  <c r="J30" i="78"/>
  <c r="J32" i="78"/>
  <c r="J45" i="78"/>
  <c r="J47" i="78"/>
  <c r="J49" i="78"/>
  <c r="J51" i="78"/>
  <c r="J53" i="78"/>
  <c r="J55" i="78"/>
  <c r="J57" i="78"/>
  <c r="K103" i="78"/>
  <c r="H105" i="78"/>
  <c r="K109" i="78"/>
  <c r="G110" i="78"/>
  <c r="J111" i="78"/>
  <c r="G112" i="78"/>
  <c r="J113" i="78"/>
  <c r="G114" i="78"/>
  <c r="C173" i="78"/>
  <c r="J120" i="78"/>
  <c r="L119" i="78"/>
  <c r="G121" i="78"/>
  <c r="J122" i="78"/>
  <c r="G123" i="78"/>
  <c r="J124" i="78"/>
  <c r="K125" i="78"/>
  <c r="H125" i="78"/>
  <c r="J131" i="78"/>
  <c r="J135" i="78"/>
  <c r="J137" i="78"/>
  <c r="J139" i="78"/>
  <c r="H146" i="78"/>
  <c r="I146" i="78"/>
  <c r="J159" i="78"/>
  <c r="K196" i="78"/>
  <c r="J200" i="78"/>
  <c r="J203" i="78"/>
  <c r="J54" i="79"/>
  <c r="G54" i="79"/>
  <c r="J60" i="79"/>
  <c r="G60" i="79"/>
  <c r="L80" i="79"/>
  <c r="L79" i="79" s="1"/>
  <c r="K79" i="79"/>
  <c r="I91" i="79"/>
  <c r="H89" i="79"/>
  <c r="J94" i="79"/>
  <c r="G94" i="79"/>
  <c r="J115" i="79"/>
  <c r="G115" i="79"/>
  <c r="H150" i="79"/>
  <c r="J170" i="79"/>
  <c r="G170" i="79"/>
  <c r="L203" i="79"/>
  <c r="L202" i="79" s="1"/>
  <c r="K202" i="79"/>
  <c r="J13" i="79"/>
  <c r="J12" i="79" s="1"/>
  <c r="I43" i="79"/>
  <c r="J53" i="79"/>
  <c r="G53" i="79"/>
  <c r="J61" i="79"/>
  <c r="G61" i="79"/>
  <c r="J68" i="79"/>
  <c r="G68" i="79"/>
  <c r="L86" i="79"/>
  <c r="H107" i="79"/>
  <c r="J114" i="79"/>
  <c r="G114" i="79"/>
  <c r="J145" i="79"/>
  <c r="G145" i="79"/>
  <c r="L145" i="79"/>
  <c r="L144" i="79" s="1"/>
  <c r="K144" i="79"/>
  <c r="J147" i="79"/>
  <c r="G147" i="79"/>
  <c r="M175" i="79"/>
  <c r="J206" i="79"/>
  <c r="G206" i="79"/>
  <c r="J208" i="79"/>
  <c r="G208" i="79"/>
  <c r="M37" i="79"/>
  <c r="J38" i="79"/>
  <c r="M40" i="79"/>
  <c r="J41" i="79"/>
  <c r="M42" i="79"/>
  <c r="J43" i="79"/>
  <c r="M44" i="79"/>
  <c r="J45" i="79"/>
  <c r="J50" i="79"/>
  <c r="J52" i="79"/>
  <c r="J55" i="79"/>
  <c r="J59" i="79"/>
  <c r="J67" i="79"/>
  <c r="I79" i="79"/>
  <c r="M87" i="79"/>
  <c r="M88" i="79"/>
  <c r="J96" i="79"/>
  <c r="J108" i="79"/>
  <c r="J107" i="79" s="1"/>
  <c r="M116" i="79"/>
  <c r="D179" i="79"/>
  <c r="I129" i="79"/>
  <c r="H133" i="79"/>
  <c r="J141" i="79"/>
  <c r="J143" i="79"/>
  <c r="J148" i="79"/>
  <c r="J149" i="79"/>
  <c r="M151" i="79"/>
  <c r="J153" i="79"/>
  <c r="M154" i="79"/>
  <c r="J156" i="79"/>
  <c r="J159" i="79"/>
  <c r="J171" i="79"/>
  <c r="L182" i="79"/>
  <c r="L187" i="79" s="1"/>
  <c r="J205" i="79"/>
  <c r="J207" i="79"/>
  <c r="J214" i="79"/>
  <c r="J213" i="79" s="1"/>
  <c r="J216" i="79" s="1"/>
  <c r="J83" i="78"/>
  <c r="G83" i="78"/>
  <c r="L83" i="78"/>
  <c r="K82" i="78"/>
  <c r="H9" i="78"/>
  <c r="J10" i="78"/>
  <c r="J9" i="78" s="1"/>
  <c r="J15" i="78"/>
  <c r="J17" i="78"/>
  <c r="G20" i="78"/>
  <c r="G22" i="78"/>
  <c r="G24" i="78"/>
  <c r="G28" i="78"/>
  <c r="G30" i="78"/>
  <c r="G32" i="78"/>
  <c r="L34" i="78"/>
  <c r="J37" i="78"/>
  <c r="J39" i="78"/>
  <c r="J42" i="78"/>
  <c r="H82" i="78"/>
  <c r="I82" i="78"/>
  <c r="L85" i="78"/>
  <c r="I189" i="78"/>
  <c r="J58" i="78"/>
  <c r="J59" i="78"/>
  <c r="J61" i="78"/>
  <c r="J63" i="78"/>
  <c r="J65" i="78"/>
  <c r="L75" i="78"/>
  <c r="J84" i="78"/>
  <c r="M86" i="78"/>
  <c r="M87" i="78"/>
  <c r="M88" i="78"/>
  <c r="M89" i="78"/>
  <c r="M90" i="78"/>
  <c r="M91" i="78"/>
  <c r="M92" i="78"/>
  <c r="M93" i="78"/>
  <c r="M94" i="78"/>
  <c r="J96" i="78"/>
  <c r="G97" i="78"/>
  <c r="J98" i="78"/>
  <c r="G99" i="78"/>
  <c r="J100" i="78"/>
  <c r="J102" i="78"/>
  <c r="M104" i="78"/>
  <c r="M103" i="78" s="1"/>
  <c r="G105" i="78"/>
  <c r="L105" i="78"/>
  <c r="G135" i="78"/>
  <c r="G137" i="78"/>
  <c r="G139" i="78"/>
  <c r="J144" i="78"/>
  <c r="K146" i="78"/>
  <c r="G147" i="78"/>
  <c r="M148" i="78"/>
  <c r="G149" i="78"/>
  <c r="M150" i="78"/>
  <c r="G151" i="78"/>
  <c r="M152" i="78"/>
  <c r="G153" i="78"/>
  <c r="J154" i="78"/>
  <c r="M156" i="78"/>
  <c r="M155" i="78" s="1"/>
  <c r="H157" i="78"/>
  <c r="L162" i="78"/>
  <c r="J190" i="78"/>
  <c r="J192" i="78"/>
  <c r="G193" i="78"/>
  <c r="M197" i="78"/>
  <c r="M196" i="78" s="1"/>
  <c r="J199" i="78"/>
  <c r="G200" i="78"/>
  <c r="J201" i="78"/>
  <c r="G203" i="78"/>
  <c r="C72" i="78"/>
  <c r="G10" i="78"/>
  <c r="G9" i="78" s="1"/>
  <c r="I10" i="78"/>
  <c r="I9" i="78" s="1"/>
  <c r="J14" i="78"/>
  <c r="L13" i="78"/>
  <c r="G15" i="78"/>
  <c r="J16" i="78"/>
  <c r="G17" i="78"/>
  <c r="H34" i="78"/>
  <c r="J38" i="78"/>
  <c r="J40" i="78"/>
  <c r="J43" i="78"/>
  <c r="K75" i="78"/>
  <c r="I13" i="78"/>
  <c r="J68" i="78"/>
  <c r="G68" i="78"/>
  <c r="J69" i="78"/>
  <c r="G69" i="78"/>
  <c r="J44" i="78"/>
  <c r="J46" i="78"/>
  <c r="J48" i="78"/>
  <c r="J50" i="78"/>
  <c r="J52" i="78"/>
  <c r="J54" i="78"/>
  <c r="J56" i="78"/>
  <c r="J60" i="78"/>
  <c r="J62" i="78"/>
  <c r="J64" i="78"/>
  <c r="J67" i="78"/>
  <c r="J70" i="78"/>
  <c r="D116" i="78"/>
  <c r="M76" i="78"/>
  <c r="M77" i="78"/>
  <c r="M78" i="78"/>
  <c r="M79" i="78"/>
  <c r="M80" i="78"/>
  <c r="M81" i="78"/>
  <c r="I95" i="78"/>
  <c r="K105" i="78"/>
  <c r="I119" i="78"/>
  <c r="J130" i="78"/>
  <c r="G131" i="78"/>
  <c r="J132" i="78"/>
  <c r="M133" i="78"/>
  <c r="K140" i="78"/>
  <c r="J143" i="78"/>
  <c r="J145" i="78"/>
  <c r="K157" i="78"/>
  <c r="G159" i="78"/>
  <c r="J161" i="78"/>
  <c r="J157" i="78" s="1"/>
  <c r="M163" i="78"/>
  <c r="M164" i="78"/>
  <c r="M165" i="78"/>
  <c r="M166" i="78"/>
  <c r="J168" i="78"/>
  <c r="J170" i="78"/>
  <c r="G171" i="78"/>
  <c r="F205" i="78"/>
  <c r="H184" i="78"/>
  <c r="K189" i="78"/>
  <c r="G190" i="78"/>
  <c r="J191" i="78"/>
  <c r="I198" i="78"/>
  <c r="K208" i="78"/>
  <c r="K211" i="78" s="1"/>
  <c r="I129" i="78"/>
  <c r="I167" i="78"/>
  <c r="M16" i="78"/>
  <c r="J18" i="78"/>
  <c r="M18" i="78"/>
  <c r="K11" i="78"/>
  <c r="H13" i="78"/>
  <c r="K13" i="78"/>
  <c r="G14" i="78"/>
  <c r="M15" i="78"/>
  <c r="G16" i="78"/>
  <c r="M17" i="78"/>
  <c r="G18" i="78"/>
  <c r="J19" i="78"/>
  <c r="G19" i="78"/>
  <c r="M19" i="78"/>
  <c r="J21" i="78"/>
  <c r="G21" i="78"/>
  <c r="M21" i="78"/>
  <c r="J23" i="78"/>
  <c r="G23" i="78"/>
  <c r="M23" i="78"/>
  <c r="J29" i="78"/>
  <c r="G29" i="78"/>
  <c r="M29" i="78"/>
  <c r="J31" i="78"/>
  <c r="G31" i="78"/>
  <c r="M31" i="78"/>
  <c r="J33" i="78"/>
  <c r="G33" i="78"/>
  <c r="M33" i="78"/>
  <c r="K34" i="78"/>
  <c r="L125" i="78"/>
  <c r="M20" i="78"/>
  <c r="M22" i="78"/>
  <c r="M24" i="78"/>
  <c r="M30" i="78"/>
  <c r="M32" i="78"/>
  <c r="M37" i="78"/>
  <c r="M38" i="78"/>
  <c r="M39" i="78"/>
  <c r="M40" i="78"/>
  <c r="M42" i="78"/>
  <c r="M43" i="78"/>
  <c r="M44" i="78"/>
  <c r="M45" i="78"/>
  <c r="M46" i="78"/>
  <c r="M47" i="78"/>
  <c r="M48" i="78"/>
  <c r="M49" i="78"/>
  <c r="M50" i="78"/>
  <c r="M51" i="78"/>
  <c r="M52" i="78"/>
  <c r="M53" i="78"/>
  <c r="M54" i="78"/>
  <c r="M55" i="78"/>
  <c r="M56" i="78"/>
  <c r="M57" i="78"/>
  <c r="M58" i="78"/>
  <c r="M59" i="78"/>
  <c r="M60" i="78"/>
  <c r="M61" i="78"/>
  <c r="M62" i="78"/>
  <c r="M63" i="78"/>
  <c r="M64" i="78"/>
  <c r="M65" i="78"/>
  <c r="H66" i="78"/>
  <c r="K66" i="78"/>
  <c r="G67" i="78"/>
  <c r="M68" i="78"/>
  <c r="M69" i="78"/>
  <c r="G70" i="78"/>
  <c r="M71" i="78"/>
  <c r="F116" i="78"/>
  <c r="J76" i="78"/>
  <c r="J77" i="78"/>
  <c r="J78" i="78"/>
  <c r="J79" i="78"/>
  <c r="J80" i="78"/>
  <c r="J81" i="78"/>
  <c r="G84" i="78"/>
  <c r="J86" i="78"/>
  <c r="J87" i="78"/>
  <c r="J88" i="78"/>
  <c r="J89" i="78"/>
  <c r="J90" i="78"/>
  <c r="J91" i="78"/>
  <c r="J92" i="78"/>
  <c r="J93" i="78"/>
  <c r="J94" i="78"/>
  <c r="H95" i="78"/>
  <c r="K95" i="78"/>
  <c r="G96" i="78"/>
  <c r="M97" i="78"/>
  <c r="G98" i="78"/>
  <c r="M99" i="78"/>
  <c r="M100" i="78"/>
  <c r="G102" i="78"/>
  <c r="J104" i="78"/>
  <c r="J103" i="78" s="1"/>
  <c r="L109" i="78"/>
  <c r="G111" i="78"/>
  <c r="M112" i="78"/>
  <c r="G113" i="78"/>
  <c r="M114" i="78"/>
  <c r="D173" i="78"/>
  <c r="H119" i="78"/>
  <c r="K119" i="78"/>
  <c r="G120" i="78"/>
  <c r="M121" i="78"/>
  <c r="G122" i="78"/>
  <c r="M123" i="78"/>
  <c r="G124" i="78"/>
  <c r="H129" i="78"/>
  <c r="K129" i="78"/>
  <c r="G130" i="78"/>
  <c r="M131" i="78"/>
  <c r="M132" i="78"/>
  <c r="M134" i="78"/>
  <c r="J136" i="78"/>
  <c r="G136" i="78"/>
  <c r="M136" i="78"/>
  <c r="J138" i="78"/>
  <c r="G138" i="78"/>
  <c r="M138" i="78"/>
  <c r="I157" i="78"/>
  <c r="M70" i="78"/>
  <c r="M84" i="78"/>
  <c r="M98" i="78"/>
  <c r="M102" i="78"/>
  <c r="M111" i="78"/>
  <c r="M113" i="78"/>
  <c r="M122" i="78"/>
  <c r="M124" i="78"/>
  <c r="J133" i="78"/>
  <c r="G133" i="78"/>
  <c r="M141" i="78"/>
  <c r="H140" i="78"/>
  <c r="J148" i="78"/>
  <c r="G148" i="78"/>
  <c r="J150" i="78"/>
  <c r="G150" i="78"/>
  <c r="J152" i="78"/>
  <c r="G152" i="78"/>
  <c r="J134" i="78"/>
  <c r="M135" i="78"/>
  <c r="M137" i="78"/>
  <c r="M139" i="78"/>
  <c r="J141" i="78"/>
  <c r="J142" i="78"/>
  <c r="L140" i="78"/>
  <c r="M143" i="78"/>
  <c r="M144" i="78"/>
  <c r="M145" i="78"/>
  <c r="M149" i="78"/>
  <c r="M151" i="78"/>
  <c r="M153" i="78"/>
  <c r="G154" i="78"/>
  <c r="J156" i="78"/>
  <c r="J155" i="78" s="1"/>
  <c r="G161" i="78"/>
  <c r="J163" i="78"/>
  <c r="J164" i="78"/>
  <c r="J165" i="78"/>
  <c r="J166" i="78"/>
  <c r="H167" i="78"/>
  <c r="K167" i="78"/>
  <c r="G170" i="78"/>
  <c r="M171" i="78"/>
  <c r="K176" i="78"/>
  <c r="K181" i="78" s="1"/>
  <c r="H176" i="78"/>
  <c r="H181" i="78" s="1"/>
  <c r="D205" i="78"/>
  <c r="L189" i="78"/>
  <c r="G192" i="78"/>
  <c r="M193" i="78"/>
  <c r="H194" i="78"/>
  <c r="J195" i="78"/>
  <c r="J194" i="78" s="1"/>
  <c r="J197" i="78"/>
  <c r="J196" i="78" s="1"/>
  <c r="H198" i="78"/>
  <c r="K198" i="78"/>
  <c r="G199" i="78"/>
  <c r="M200" i="78"/>
  <c r="G201" i="78"/>
  <c r="J209" i="78"/>
  <c r="J208" i="78" s="1"/>
  <c r="J211" i="78" s="1"/>
  <c r="M154" i="78"/>
  <c r="M161" i="78"/>
  <c r="M170" i="78"/>
  <c r="M201" i="78"/>
  <c r="M13" i="79"/>
  <c r="M12" i="79" s="1"/>
  <c r="K26" i="79"/>
  <c r="G27" i="79"/>
  <c r="J28" i="79"/>
  <c r="K35" i="79"/>
  <c r="G36" i="79"/>
  <c r="I36" i="79"/>
  <c r="G37" i="79"/>
  <c r="I37" i="79"/>
  <c r="G38" i="79"/>
  <c r="I38" i="79"/>
  <c r="G40" i="79"/>
  <c r="I40" i="79"/>
  <c r="G41" i="79"/>
  <c r="I41" i="79"/>
  <c r="G42" i="79"/>
  <c r="I42" i="79"/>
  <c r="J44" i="79"/>
  <c r="I44" i="79"/>
  <c r="G45" i="79"/>
  <c r="I45" i="79"/>
  <c r="J48" i="79"/>
  <c r="I48" i="79"/>
  <c r="G49" i="79"/>
  <c r="I49" i="79"/>
  <c r="G50" i="79"/>
  <c r="I50" i="79"/>
  <c r="G51" i="79"/>
  <c r="I51" i="79"/>
  <c r="G52" i="79"/>
  <c r="G55" i="79"/>
  <c r="G58" i="79"/>
  <c r="G59" i="79"/>
  <c r="G62" i="79"/>
  <c r="G66" i="79"/>
  <c r="G67" i="79"/>
  <c r="K69" i="79"/>
  <c r="J71" i="79"/>
  <c r="J73" i="79"/>
  <c r="H79" i="79"/>
  <c r="K89" i="79"/>
  <c r="G90" i="79"/>
  <c r="J91" i="79"/>
  <c r="J92" i="79"/>
  <c r="J93" i="79"/>
  <c r="G96" i="79"/>
  <c r="J97" i="79"/>
  <c r="J100" i="79"/>
  <c r="J101" i="79"/>
  <c r="J102" i="79"/>
  <c r="J103" i="79"/>
  <c r="J104" i="79"/>
  <c r="H109" i="79"/>
  <c r="J110" i="79"/>
  <c r="J111" i="79"/>
  <c r="J112" i="79"/>
  <c r="L109" i="79"/>
  <c r="J130" i="79"/>
  <c r="G130" i="79"/>
  <c r="L130" i="79"/>
  <c r="L129" i="79" s="1"/>
  <c r="K129" i="79"/>
  <c r="J132" i="79"/>
  <c r="G132" i="79"/>
  <c r="M132" i="79"/>
  <c r="K133" i="79"/>
  <c r="I144" i="79"/>
  <c r="J146" i="79"/>
  <c r="G146" i="79"/>
  <c r="L162" i="79"/>
  <c r="I167" i="79"/>
  <c r="J116" i="79"/>
  <c r="G116" i="79"/>
  <c r="M131" i="79"/>
  <c r="M141" i="79"/>
  <c r="M142" i="79"/>
  <c r="M143" i="79"/>
  <c r="M147" i="79"/>
  <c r="M148" i="79"/>
  <c r="G149" i="79"/>
  <c r="J151" i="79"/>
  <c r="J152" i="79"/>
  <c r="J154" i="79"/>
  <c r="J155" i="79"/>
  <c r="M156" i="79"/>
  <c r="M158" i="79"/>
  <c r="H160" i="79"/>
  <c r="M163" i="79"/>
  <c r="M166" i="79"/>
  <c r="H167" i="79"/>
  <c r="K167" i="79"/>
  <c r="G168" i="79"/>
  <c r="J169" i="79"/>
  <c r="M170" i="79"/>
  <c r="G171" i="79"/>
  <c r="J175" i="79"/>
  <c r="J176" i="79"/>
  <c r="K182" i="79"/>
  <c r="K187" i="79" s="1"/>
  <c r="D210" i="79"/>
  <c r="K195" i="79"/>
  <c r="G196" i="79"/>
  <c r="M198" i="79"/>
  <c r="G199" i="79"/>
  <c r="K200" i="79"/>
  <c r="M203" i="79"/>
  <c r="M202" i="79" s="1"/>
  <c r="H204" i="79"/>
  <c r="K204" i="79"/>
  <c r="G205" i="79"/>
  <c r="M206" i="79"/>
  <c r="G207" i="79"/>
  <c r="M208" i="79"/>
  <c r="H213" i="79"/>
  <c r="H216" i="79" s="1"/>
  <c r="K213" i="79"/>
  <c r="K216" i="79" s="1"/>
  <c r="G214" i="79"/>
  <c r="G213" i="79" s="1"/>
  <c r="G216" i="79" s="1"/>
  <c r="M149" i="79"/>
  <c r="M169" i="79"/>
  <c r="M171" i="79"/>
  <c r="H190" i="79"/>
  <c r="M199" i="79"/>
  <c r="M207" i="79"/>
  <c r="G43" i="79"/>
  <c r="J33" i="67"/>
  <c r="J137" i="67"/>
  <c r="G33" i="67"/>
  <c r="J116" i="67"/>
  <c r="G137" i="67"/>
  <c r="J215" i="67"/>
  <c r="J214" i="67" s="1"/>
  <c r="J217" i="67" s="1"/>
  <c r="K214" i="67"/>
  <c r="K217" i="67" s="1"/>
  <c r="G182" i="79"/>
  <c r="G187" i="79" s="1"/>
  <c r="M173" i="79"/>
  <c r="M172" i="79" s="1"/>
  <c r="J166" i="79"/>
  <c r="J163" i="79"/>
  <c r="J161" i="79"/>
  <c r="J160" i="79" s="1"/>
  <c r="M159" i="79"/>
  <c r="K150" i="79"/>
  <c r="M155" i="79"/>
  <c r="L150" i="79"/>
  <c r="M153" i="79"/>
  <c r="M152" i="79"/>
  <c r="M146" i="79"/>
  <c r="J142" i="79"/>
  <c r="L123" i="79"/>
  <c r="K123" i="79"/>
  <c r="M115" i="79"/>
  <c r="K113" i="79"/>
  <c r="H113" i="79"/>
  <c r="M112" i="79"/>
  <c r="M109" i="79" s="1"/>
  <c r="J105" i="79"/>
  <c r="I89" i="79"/>
  <c r="M91" i="79"/>
  <c r="M92" i="79"/>
  <c r="M93" i="79"/>
  <c r="J95" i="79"/>
  <c r="M96" i="79"/>
  <c r="M97" i="79"/>
  <c r="M94" i="79"/>
  <c r="M95" i="79"/>
  <c r="J87" i="79"/>
  <c r="J88" i="79"/>
  <c r="J80" i="79"/>
  <c r="J81" i="79"/>
  <c r="J82" i="79"/>
  <c r="J83" i="79"/>
  <c r="J84" i="79"/>
  <c r="J85" i="79"/>
  <c r="M81" i="79"/>
  <c r="M82" i="79"/>
  <c r="M83" i="79"/>
  <c r="M84" i="79"/>
  <c r="M85" i="79"/>
  <c r="L69" i="79"/>
  <c r="M70" i="79"/>
  <c r="M71" i="79"/>
  <c r="M74" i="79"/>
  <c r="M53" i="79"/>
  <c r="M55" i="79"/>
  <c r="M56" i="79"/>
  <c r="M60" i="79"/>
  <c r="M63" i="79"/>
  <c r="I47" i="79"/>
  <c r="M54" i="79"/>
  <c r="J56" i="79"/>
  <c r="M64" i="79"/>
  <c r="M67" i="79"/>
  <c r="L26" i="79"/>
  <c r="K14" i="79"/>
  <c r="H14" i="79"/>
  <c r="F173" i="78"/>
  <c r="M142" i="78"/>
  <c r="G134" i="78"/>
  <c r="G132" i="78"/>
  <c r="G209" i="78"/>
  <c r="G208" i="78" s="1"/>
  <c r="G211" i="78" s="1"/>
  <c r="C205" i="78"/>
  <c r="G168" i="78"/>
  <c r="G100" i="78"/>
  <c r="G169" i="79"/>
  <c r="G161" i="79"/>
  <c r="G160" i="79" s="1"/>
  <c r="G148" i="79"/>
  <c r="C179" i="79"/>
  <c r="C120" i="79"/>
  <c r="G108" i="79"/>
  <c r="G107" i="79" s="1"/>
  <c r="G97" i="79"/>
  <c r="G95" i="79"/>
  <c r="G93" i="79"/>
  <c r="G92" i="79"/>
  <c r="G91" i="79"/>
  <c r="G85" i="79"/>
  <c r="G84" i="79"/>
  <c r="G83" i="79"/>
  <c r="G82" i="79"/>
  <c r="G81" i="79"/>
  <c r="G80" i="79"/>
  <c r="G65" i="79"/>
  <c r="G56" i="79"/>
  <c r="G48" i="79"/>
  <c r="G46" i="79"/>
  <c r="G44" i="79"/>
  <c r="G28" i="79"/>
  <c r="G14" i="79"/>
  <c r="C76" i="79"/>
  <c r="G11" i="79"/>
  <c r="G10" i="79" s="1"/>
  <c r="L10" i="79"/>
  <c r="D76" i="79"/>
  <c r="F76" i="79"/>
  <c r="G13" i="79"/>
  <c r="G12" i="79" s="1"/>
  <c r="I13" i="79"/>
  <c r="I12" i="79" s="1"/>
  <c r="I16" i="79"/>
  <c r="J17" i="79"/>
  <c r="I18" i="79"/>
  <c r="J19" i="79"/>
  <c r="I20" i="79"/>
  <c r="J21" i="79"/>
  <c r="I22" i="79"/>
  <c r="J23" i="79"/>
  <c r="I24" i="79"/>
  <c r="J25" i="79"/>
  <c r="M27" i="79"/>
  <c r="J29" i="79"/>
  <c r="I30" i="79"/>
  <c r="J31" i="79"/>
  <c r="M32" i="79"/>
  <c r="I32" i="79"/>
  <c r="J33" i="79"/>
  <c r="M34" i="79"/>
  <c r="I34" i="79"/>
  <c r="L35" i="79"/>
  <c r="M75" i="79"/>
  <c r="M108" i="79"/>
  <c r="M107" i="79" s="1"/>
  <c r="L107" i="79"/>
  <c r="J16" i="79"/>
  <c r="I17" i="79"/>
  <c r="J18" i="79"/>
  <c r="I19" i="79"/>
  <c r="J20" i="79"/>
  <c r="M21" i="79"/>
  <c r="I21" i="79"/>
  <c r="J22" i="79"/>
  <c r="I23" i="79"/>
  <c r="J24" i="79"/>
  <c r="M25" i="79"/>
  <c r="I25" i="79"/>
  <c r="M29" i="79"/>
  <c r="I29" i="79"/>
  <c r="H26" i="79"/>
  <c r="J30" i="79"/>
  <c r="M31" i="79"/>
  <c r="I31" i="79"/>
  <c r="J32" i="79"/>
  <c r="M33" i="79"/>
  <c r="I33" i="79"/>
  <c r="J34" i="79"/>
  <c r="M80" i="79"/>
  <c r="M90" i="79"/>
  <c r="L89" i="79"/>
  <c r="M114" i="79"/>
  <c r="L113" i="79"/>
  <c r="G70" i="79"/>
  <c r="I70" i="79"/>
  <c r="G71" i="79"/>
  <c r="I71" i="79"/>
  <c r="G73" i="79"/>
  <c r="I73" i="79"/>
  <c r="G74" i="79"/>
  <c r="I74" i="79"/>
  <c r="I75" i="79"/>
  <c r="D120" i="79"/>
  <c r="F120" i="79"/>
  <c r="G87" i="79"/>
  <c r="I87" i="79"/>
  <c r="G88" i="79"/>
  <c r="I88" i="79"/>
  <c r="G100" i="79"/>
  <c r="I100" i="79"/>
  <c r="G101" i="79"/>
  <c r="I101" i="79"/>
  <c r="G102" i="79"/>
  <c r="I102" i="79"/>
  <c r="G103" i="79"/>
  <c r="I103" i="79"/>
  <c r="G104" i="79"/>
  <c r="I104" i="79"/>
  <c r="G105" i="79"/>
  <c r="I105" i="79"/>
  <c r="G110" i="79"/>
  <c r="I110" i="79"/>
  <c r="G111" i="79"/>
  <c r="I111" i="79"/>
  <c r="G112" i="79"/>
  <c r="I112" i="79"/>
  <c r="J117" i="79"/>
  <c r="M118" i="79"/>
  <c r="I118" i="79"/>
  <c r="F179" i="79"/>
  <c r="M124" i="79"/>
  <c r="I124" i="79"/>
  <c r="J125" i="79"/>
  <c r="M126" i="79"/>
  <c r="I126" i="79"/>
  <c r="J127" i="79"/>
  <c r="M128" i="79"/>
  <c r="I128" i="79"/>
  <c r="G134" i="79"/>
  <c r="J134" i="79"/>
  <c r="M135" i="79"/>
  <c r="I135" i="79"/>
  <c r="J136" i="79"/>
  <c r="M137" i="79"/>
  <c r="I137" i="79"/>
  <c r="J138" i="79"/>
  <c r="M139" i="79"/>
  <c r="I139" i="79"/>
  <c r="J140" i="79"/>
  <c r="M161" i="79"/>
  <c r="M160" i="79" s="1"/>
  <c r="L160" i="79"/>
  <c r="M117" i="79"/>
  <c r="I117" i="79"/>
  <c r="J118" i="79"/>
  <c r="G124" i="79"/>
  <c r="G123" i="79" s="1"/>
  <c r="J124" i="79"/>
  <c r="M125" i="79"/>
  <c r="I125" i="79"/>
  <c r="J126" i="79"/>
  <c r="M127" i="79"/>
  <c r="I127" i="79"/>
  <c r="J128" i="79"/>
  <c r="M134" i="79"/>
  <c r="I134" i="79"/>
  <c r="J135" i="79"/>
  <c r="M136" i="79"/>
  <c r="I136" i="79"/>
  <c r="J137" i="79"/>
  <c r="M138" i="79"/>
  <c r="I138" i="79"/>
  <c r="J139" i="79"/>
  <c r="M140" i="79"/>
  <c r="I140" i="79"/>
  <c r="M145" i="79"/>
  <c r="M168" i="79"/>
  <c r="L167" i="79"/>
  <c r="G141" i="79"/>
  <c r="I141" i="79"/>
  <c r="G142" i="79"/>
  <c r="I142" i="79"/>
  <c r="G143" i="79"/>
  <c r="I143" i="79"/>
  <c r="G151" i="79"/>
  <c r="I151" i="79"/>
  <c r="G152" i="79"/>
  <c r="I152" i="79"/>
  <c r="G153" i="79"/>
  <c r="I153" i="79"/>
  <c r="G154" i="79"/>
  <c r="I154" i="79"/>
  <c r="G155" i="79"/>
  <c r="I155" i="79"/>
  <c r="G156" i="79"/>
  <c r="I156" i="79"/>
  <c r="G158" i="79"/>
  <c r="I158" i="79"/>
  <c r="G159" i="79"/>
  <c r="I159" i="79"/>
  <c r="G163" i="79"/>
  <c r="I163" i="79"/>
  <c r="G166" i="79"/>
  <c r="I166" i="79"/>
  <c r="G173" i="79"/>
  <c r="I173" i="79"/>
  <c r="G175" i="79"/>
  <c r="I175" i="79"/>
  <c r="G176" i="79"/>
  <c r="I176" i="79"/>
  <c r="J183" i="79"/>
  <c r="M184" i="79"/>
  <c r="I184" i="79"/>
  <c r="J185" i="79"/>
  <c r="M191" i="79"/>
  <c r="I191" i="79"/>
  <c r="J192" i="79"/>
  <c r="G192" i="79"/>
  <c r="L192" i="79"/>
  <c r="L190" i="79" s="1"/>
  <c r="K190" i="79"/>
  <c r="M193" i="79"/>
  <c r="I193" i="79"/>
  <c r="J194" i="79"/>
  <c r="J197" i="79"/>
  <c r="J195" i="79" s="1"/>
  <c r="M183" i="79"/>
  <c r="I183" i="79"/>
  <c r="J184" i="79"/>
  <c r="M185" i="79"/>
  <c r="M187" i="79" s="1"/>
  <c r="I185" i="79"/>
  <c r="G191" i="79"/>
  <c r="G190" i="79" s="1"/>
  <c r="J191" i="79"/>
  <c r="J193" i="79"/>
  <c r="M194" i="79"/>
  <c r="I194" i="79"/>
  <c r="I197" i="79"/>
  <c r="I195" i="79" s="1"/>
  <c r="H195" i="79"/>
  <c r="M205" i="79"/>
  <c r="L204" i="79"/>
  <c r="M214" i="79"/>
  <c r="M213" i="79" s="1"/>
  <c r="L213" i="79"/>
  <c r="L216" i="79" s="1"/>
  <c r="G201" i="79"/>
  <c r="G200" i="79" s="1"/>
  <c r="G203" i="79"/>
  <c r="G202" i="79" s="1"/>
  <c r="I203" i="79"/>
  <c r="I202" i="79" s="1"/>
  <c r="D72" i="78"/>
  <c r="F72" i="78"/>
  <c r="M12" i="78"/>
  <c r="M11" i="78" s="1"/>
  <c r="I12" i="78"/>
  <c r="I11" i="78" s="1"/>
  <c r="M14" i="78"/>
  <c r="H25" i="78"/>
  <c r="M26" i="78"/>
  <c r="I26" i="78"/>
  <c r="I25" i="78" s="1"/>
  <c r="J27" i="78"/>
  <c r="J35" i="78"/>
  <c r="M36" i="78"/>
  <c r="I36" i="78"/>
  <c r="J82" i="78"/>
  <c r="M83" i="78"/>
  <c r="L82" i="78"/>
  <c r="M96" i="78"/>
  <c r="L95" i="78"/>
  <c r="G12" i="78"/>
  <c r="G11" i="78" s="1"/>
  <c r="J12" i="78"/>
  <c r="J11" i="78" s="1"/>
  <c r="G26" i="78"/>
  <c r="J26" i="78"/>
  <c r="L28" i="78"/>
  <c r="M28" i="78" s="1"/>
  <c r="K25" i="78"/>
  <c r="M35" i="78"/>
  <c r="I35" i="78"/>
  <c r="J36" i="78"/>
  <c r="G36" i="78"/>
  <c r="M67" i="78"/>
  <c r="L66" i="78"/>
  <c r="G37" i="78"/>
  <c r="I37" i="78"/>
  <c r="G38" i="78"/>
  <c r="I38" i="78"/>
  <c r="G39" i="78"/>
  <c r="I39" i="78"/>
  <c r="G40" i="78"/>
  <c r="I40" i="78"/>
  <c r="G42" i="78"/>
  <c r="I42" i="78"/>
  <c r="G43" i="78"/>
  <c r="I43" i="78"/>
  <c r="G44" i="78"/>
  <c r="I44" i="78"/>
  <c r="G45" i="78"/>
  <c r="I45" i="78"/>
  <c r="G46" i="78"/>
  <c r="I46" i="78"/>
  <c r="G47" i="78"/>
  <c r="I47" i="78"/>
  <c r="G48" i="78"/>
  <c r="I48" i="78"/>
  <c r="G49" i="78"/>
  <c r="I49" i="78"/>
  <c r="G50" i="78"/>
  <c r="I50" i="78"/>
  <c r="G51" i="78"/>
  <c r="I51" i="78"/>
  <c r="G52" i="78"/>
  <c r="I52" i="78"/>
  <c r="G53" i="78"/>
  <c r="I53" i="78"/>
  <c r="G54" i="78"/>
  <c r="I54" i="78"/>
  <c r="G55" i="78"/>
  <c r="I55" i="78"/>
  <c r="G56" i="78"/>
  <c r="I56" i="78"/>
  <c r="G57" i="78"/>
  <c r="I57" i="78"/>
  <c r="G58" i="78"/>
  <c r="I58" i="78"/>
  <c r="G59" i="78"/>
  <c r="I59" i="78"/>
  <c r="G60" i="78"/>
  <c r="I60" i="78"/>
  <c r="G61" i="78"/>
  <c r="I61" i="78"/>
  <c r="G62" i="78"/>
  <c r="I62" i="78"/>
  <c r="G63" i="78"/>
  <c r="I63" i="78"/>
  <c r="G64" i="78"/>
  <c r="I64" i="78"/>
  <c r="G65" i="78"/>
  <c r="I65" i="78"/>
  <c r="C116" i="78"/>
  <c r="G76" i="78"/>
  <c r="I76" i="78"/>
  <c r="G77" i="78"/>
  <c r="I77" i="78"/>
  <c r="G78" i="78"/>
  <c r="I78" i="78"/>
  <c r="G79" i="78"/>
  <c r="I79" i="78"/>
  <c r="G80" i="78"/>
  <c r="I80" i="78"/>
  <c r="G81" i="78"/>
  <c r="I81" i="78"/>
  <c r="G86" i="78"/>
  <c r="I86" i="78"/>
  <c r="G87" i="78"/>
  <c r="I87" i="78"/>
  <c r="G88" i="78"/>
  <c r="I88" i="78"/>
  <c r="G89" i="78"/>
  <c r="I89" i="78"/>
  <c r="G90" i="78"/>
  <c r="I90" i="78"/>
  <c r="G91" i="78"/>
  <c r="I91" i="78"/>
  <c r="G92" i="78"/>
  <c r="I92" i="78"/>
  <c r="G93" i="78"/>
  <c r="I93" i="78"/>
  <c r="G94" i="78"/>
  <c r="I94" i="78"/>
  <c r="G104" i="78"/>
  <c r="G103" i="78" s="1"/>
  <c r="I104" i="78"/>
  <c r="I103" i="78" s="1"/>
  <c r="M106" i="78"/>
  <c r="I106" i="78"/>
  <c r="J107" i="78"/>
  <c r="M108" i="78"/>
  <c r="I108" i="78"/>
  <c r="M110" i="78"/>
  <c r="M120" i="78"/>
  <c r="G126" i="78"/>
  <c r="G125" i="78" s="1"/>
  <c r="J126" i="78"/>
  <c r="M127" i="78"/>
  <c r="I127" i="78"/>
  <c r="J128" i="78"/>
  <c r="J106" i="78"/>
  <c r="M107" i="78"/>
  <c r="I107" i="78"/>
  <c r="J108" i="78"/>
  <c r="M126" i="78"/>
  <c r="I126" i="78"/>
  <c r="J127" i="78"/>
  <c r="M128" i="78"/>
  <c r="I128" i="78"/>
  <c r="M130" i="78"/>
  <c r="L129" i="78"/>
  <c r="M147" i="78"/>
  <c r="L146" i="78"/>
  <c r="L157" i="78"/>
  <c r="L167" i="78"/>
  <c r="G141" i="78"/>
  <c r="I141" i="78"/>
  <c r="G142" i="78"/>
  <c r="I142" i="78"/>
  <c r="G143" i="78"/>
  <c r="I143" i="78"/>
  <c r="G144" i="78"/>
  <c r="I144" i="78"/>
  <c r="G145" i="78"/>
  <c r="I145" i="78"/>
  <c r="G156" i="78"/>
  <c r="G155" i="78" s="1"/>
  <c r="I156" i="78"/>
  <c r="I155" i="78" s="1"/>
  <c r="G163" i="78"/>
  <c r="I163" i="78"/>
  <c r="G164" i="78"/>
  <c r="I164" i="78"/>
  <c r="G165" i="78"/>
  <c r="I165" i="78"/>
  <c r="G166" i="78"/>
  <c r="I166" i="78"/>
  <c r="M177" i="78"/>
  <c r="I177" i="78"/>
  <c r="J178" i="78"/>
  <c r="M179" i="78"/>
  <c r="M181" i="78" s="1"/>
  <c r="I179" i="78"/>
  <c r="G185" i="78"/>
  <c r="J185" i="78"/>
  <c r="J187" i="78"/>
  <c r="M188" i="78"/>
  <c r="I188" i="78"/>
  <c r="J177" i="78"/>
  <c r="M178" i="78"/>
  <c r="I178" i="78"/>
  <c r="J179" i="78"/>
  <c r="I185" i="78"/>
  <c r="J186" i="78"/>
  <c r="G186" i="78"/>
  <c r="L186" i="78"/>
  <c r="L184" i="78" s="1"/>
  <c r="K184" i="78"/>
  <c r="I187" i="78"/>
  <c r="J188" i="78"/>
  <c r="M199" i="78"/>
  <c r="L198" i="78"/>
  <c r="M209" i="78"/>
  <c r="M208" i="78" s="1"/>
  <c r="L208" i="78"/>
  <c r="L211" i="78" s="1"/>
  <c r="H189" i="78"/>
  <c r="G191" i="78"/>
  <c r="G189" i="78" s="1"/>
  <c r="G195" i="78"/>
  <c r="G194" i="78" s="1"/>
  <c r="G197" i="78"/>
  <c r="G196" i="78" s="1"/>
  <c r="I197" i="78"/>
  <c r="I196" i="78" s="1"/>
  <c r="M137" i="67"/>
  <c r="M102" i="67"/>
  <c r="M215" i="67"/>
  <c r="M214" i="67" s="1"/>
  <c r="M217" i="67" s="1"/>
  <c r="E214" i="67"/>
  <c r="E217" i="67" s="1"/>
  <c r="G215" i="67"/>
  <c r="G214" i="67" s="1"/>
  <c r="G217" i="67" s="1"/>
  <c r="I215" i="67"/>
  <c r="J102" i="67"/>
  <c r="I102" i="67"/>
  <c r="M33" i="67"/>
  <c r="M116" i="67"/>
  <c r="G116" i="67"/>
  <c r="E24" i="67"/>
  <c r="E23" i="67"/>
  <c r="E22" i="67"/>
  <c r="E21" i="67"/>
  <c r="E20" i="67"/>
  <c r="E19" i="67"/>
  <c r="E18" i="67"/>
  <c r="E17" i="67"/>
  <c r="E16" i="67"/>
  <c r="E15" i="67"/>
  <c r="F11" i="67"/>
  <c r="E10" i="67"/>
  <c r="E12" i="67"/>
  <c r="E11" i="67" s="1"/>
  <c r="D202" i="67"/>
  <c r="D200" i="67"/>
  <c r="D105" i="67"/>
  <c r="D67" i="67"/>
  <c r="C202" i="67"/>
  <c r="C200" i="67"/>
  <c r="C105" i="67"/>
  <c r="D13" i="67"/>
  <c r="D11" i="67"/>
  <c r="C13" i="67"/>
  <c r="C11" i="67"/>
  <c r="I172" i="79" l="1"/>
  <c r="J172" i="79"/>
  <c r="G172" i="79"/>
  <c r="H210" i="79"/>
  <c r="K210" i="79"/>
  <c r="M75" i="78"/>
  <c r="J95" i="78"/>
  <c r="M157" i="78"/>
  <c r="K116" i="78"/>
  <c r="G113" i="79"/>
  <c r="M204" i="79"/>
  <c r="G157" i="78"/>
  <c r="G99" i="79"/>
  <c r="J99" i="79"/>
  <c r="M99" i="79"/>
  <c r="I99" i="79"/>
  <c r="J167" i="79"/>
  <c r="I113" i="79"/>
  <c r="K72" i="78"/>
  <c r="H205" i="78"/>
  <c r="J146" i="78"/>
  <c r="J109" i="78"/>
  <c r="M130" i="79"/>
  <c r="M129" i="79" s="1"/>
  <c r="J144" i="79"/>
  <c r="H116" i="78"/>
  <c r="M189" i="78"/>
  <c r="G26" i="79"/>
  <c r="G129" i="79"/>
  <c r="J35" i="79"/>
  <c r="M167" i="79"/>
  <c r="H179" i="79"/>
  <c r="H120" i="79"/>
  <c r="G144" i="79"/>
  <c r="H173" i="78"/>
  <c r="J150" i="79"/>
  <c r="M198" i="78"/>
  <c r="K205" i="78"/>
  <c r="M167" i="78"/>
  <c r="M146" i="78"/>
  <c r="M129" i="78"/>
  <c r="M109" i="78"/>
  <c r="G25" i="78"/>
  <c r="M82" i="78"/>
  <c r="M13" i="78"/>
  <c r="J69" i="79"/>
  <c r="M144" i="79"/>
  <c r="M150" i="79"/>
  <c r="J204" i="79"/>
  <c r="J189" i="78"/>
  <c r="M66" i="78"/>
  <c r="H72" i="78"/>
  <c r="G82" i="78"/>
  <c r="M95" i="78"/>
  <c r="K173" i="78"/>
  <c r="J119" i="78"/>
  <c r="J113" i="79"/>
  <c r="M89" i="79"/>
  <c r="H76" i="79"/>
  <c r="G167" i="79"/>
  <c r="K76" i="79"/>
  <c r="I35" i="79"/>
  <c r="J86" i="79"/>
  <c r="J89" i="79"/>
  <c r="K120" i="79"/>
  <c r="K179" i="79"/>
  <c r="M86" i="79"/>
  <c r="M85" i="78"/>
  <c r="J25" i="78"/>
  <c r="L116" i="78"/>
  <c r="F213" i="78"/>
  <c r="G95" i="78"/>
  <c r="G129" i="78"/>
  <c r="J140" i="78"/>
  <c r="J129" i="78"/>
  <c r="J198" i="78"/>
  <c r="M176" i="78"/>
  <c r="L173" i="78"/>
  <c r="M125" i="78"/>
  <c r="M140" i="78"/>
  <c r="G146" i="78"/>
  <c r="G109" i="78"/>
  <c r="J13" i="78"/>
  <c r="J167" i="78"/>
  <c r="M162" i="78"/>
  <c r="J66" i="78"/>
  <c r="G198" i="78"/>
  <c r="I105" i="78"/>
  <c r="C213" i="78"/>
  <c r="D213" i="78"/>
  <c r="G167" i="78"/>
  <c r="J162" i="78"/>
  <c r="J85" i="78"/>
  <c r="J75" i="78"/>
  <c r="G13" i="78"/>
  <c r="G119" i="78"/>
  <c r="G66" i="78"/>
  <c r="M182" i="79"/>
  <c r="L210" i="79"/>
  <c r="M35" i="79"/>
  <c r="G195" i="79"/>
  <c r="M162" i="79"/>
  <c r="J129" i="79"/>
  <c r="J109" i="79"/>
  <c r="L179" i="79"/>
  <c r="G204" i="79"/>
  <c r="M195" i="79"/>
  <c r="J162" i="79"/>
  <c r="J79" i="79"/>
  <c r="M69" i="79"/>
  <c r="G35" i="79"/>
  <c r="J176" i="78"/>
  <c r="J181" i="78" s="1"/>
  <c r="C218" i="79"/>
  <c r="G89" i="79"/>
  <c r="G79" i="79"/>
  <c r="J26" i="79"/>
  <c r="J14" i="79"/>
  <c r="J190" i="79"/>
  <c r="I182" i="79"/>
  <c r="I187" i="79" s="1"/>
  <c r="I190" i="79"/>
  <c r="I210" i="79" s="1"/>
  <c r="I162" i="79"/>
  <c r="G150" i="79"/>
  <c r="M133" i="79"/>
  <c r="M123" i="79"/>
  <c r="G109" i="79"/>
  <c r="G86" i="79"/>
  <c r="I69" i="79"/>
  <c r="M113" i="79"/>
  <c r="L120" i="79"/>
  <c r="I26" i="79"/>
  <c r="M26" i="79"/>
  <c r="I14" i="79"/>
  <c r="F218" i="79"/>
  <c r="M10" i="79"/>
  <c r="M190" i="79"/>
  <c r="J182" i="79"/>
  <c r="J187" i="79" s="1"/>
  <c r="G162" i="79"/>
  <c r="I150" i="79"/>
  <c r="I133" i="79"/>
  <c r="J123" i="79"/>
  <c r="J133" i="79"/>
  <c r="G133" i="79"/>
  <c r="I123" i="79"/>
  <c r="I109" i="79"/>
  <c r="I86" i="79"/>
  <c r="G69" i="79"/>
  <c r="M79" i="79"/>
  <c r="D218" i="79"/>
  <c r="L205" i="78"/>
  <c r="M184" i="78"/>
  <c r="J184" i="78"/>
  <c r="G184" i="78"/>
  <c r="I176" i="78"/>
  <c r="I181" i="78" s="1"/>
  <c r="I162" i="78"/>
  <c r="I140" i="78"/>
  <c r="I125" i="78"/>
  <c r="J105" i="78"/>
  <c r="J125" i="78"/>
  <c r="M105" i="78"/>
  <c r="I85" i="78"/>
  <c r="G75" i="78"/>
  <c r="M34" i="78"/>
  <c r="M25" i="78"/>
  <c r="I184" i="78"/>
  <c r="I205" i="78" s="1"/>
  <c r="G162" i="78"/>
  <c r="G140" i="78"/>
  <c r="M119" i="78"/>
  <c r="M173" i="78" s="1"/>
  <c r="G85" i="78"/>
  <c r="I75" i="78"/>
  <c r="I34" i="78"/>
  <c r="I72" i="78" s="1"/>
  <c r="J34" i="78"/>
  <c r="G34" i="78"/>
  <c r="L25" i="78"/>
  <c r="L72" i="78" s="1"/>
  <c r="I214" i="67"/>
  <c r="I217" i="67" s="1"/>
  <c r="M120" i="79" l="1"/>
  <c r="J210" i="79"/>
  <c r="M179" i="79"/>
  <c r="J72" i="78"/>
  <c r="H213" i="78"/>
  <c r="J205" i="78"/>
  <c r="M205" i="78"/>
  <c r="M116" i="78"/>
  <c r="H218" i="79"/>
  <c r="K213" i="78"/>
  <c r="I116" i="78"/>
  <c r="J120" i="79"/>
  <c r="L213" i="78"/>
  <c r="G76" i="79"/>
  <c r="K218" i="79"/>
  <c r="G72" i="78"/>
  <c r="J173" i="78"/>
  <c r="G205" i="78"/>
  <c r="G210" i="79"/>
  <c r="M72" i="78"/>
  <c r="I173" i="78"/>
  <c r="J116" i="78"/>
  <c r="I120" i="79"/>
  <c r="M210" i="79"/>
  <c r="I76" i="79"/>
  <c r="G173" i="78"/>
  <c r="G179" i="79"/>
  <c r="G120" i="79"/>
  <c r="J76" i="79"/>
  <c r="I179" i="79"/>
  <c r="J179" i="79"/>
  <c r="G116" i="78"/>
  <c r="H92" i="67"/>
  <c r="I92" i="67" s="1"/>
  <c r="K92" i="67"/>
  <c r="L92" i="67" s="1"/>
  <c r="E92" i="67"/>
  <c r="J92" i="67" l="1"/>
  <c r="I213" i="78"/>
  <c r="J213" i="78"/>
  <c r="I218" i="79"/>
  <c r="M92" i="67"/>
  <c r="M213" i="78"/>
  <c r="G213" i="78"/>
  <c r="G218" i="79"/>
  <c r="J218" i="79"/>
  <c r="G92" i="67"/>
  <c r="K115" i="67"/>
  <c r="L115" i="67" s="1"/>
  <c r="H115" i="67"/>
  <c r="I115" i="67" s="1"/>
  <c r="E115" i="67"/>
  <c r="M115" i="67" l="1"/>
  <c r="J115" i="67"/>
  <c r="G115" i="67"/>
  <c r="E58" i="67"/>
  <c r="E59" i="67"/>
  <c r="E60" i="67"/>
  <c r="E61" i="67"/>
  <c r="E62" i="67"/>
  <c r="E63" i="67"/>
  <c r="E64" i="67"/>
  <c r="E65" i="67"/>
  <c r="E66" i="67"/>
  <c r="E47" i="67"/>
  <c r="E48" i="67"/>
  <c r="E49" i="67"/>
  <c r="E50" i="67"/>
  <c r="E51" i="67"/>
  <c r="E52" i="67"/>
  <c r="E53" i="67"/>
  <c r="E54" i="67"/>
  <c r="E55" i="67"/>
  <c r="E56" i="67"/>
  <c r="E57" i="67"/>
  <c r="E39" i="67"/>
  <c r="E40" i="67"/>
  <c r="E42" i="67"/>
  <c r="E43" i="67"/>
  <c r="E44" i="67"/>
  <c r="E45" i="67"/>
  <c r="E46" i="67"/>
  <c r="E35" i="67"/>
  <c r="E36" i="67"/>
  <c r="E37" i="67"/>
  <c r="E38" i="67"/>
  <c r="E26" i="67"/>
  <c r="E14" i="67"/>
  <c r="E13" i="67" s="1"/>
  <c r="E9" i="67"/>
  <c r="E34" i="67" l="1"/>
  <c r="E25" i="67" s="1"/>
  <c r="K134" i="67" l="1"/>
  <c r="L134" i="67" s="1"/>
  <c r="H134" i="67"/>
  <c r="I134" i="67" s="1"/>
  <c r="E134" i="67"/>
  <c r="J134" i="67" l="1"/>
  <c r="M134" i="67"/>
  <c r="G134" i="67"/>
  <c r="F13" i="67" l="1"/>
  <c r="E68" i="67"/>
  <c r="E78" i="67"/>
  <c r="E79" i="67"/>
  <c r="E80" i="67"/>
  <c r="E81" i="67"/>
  <c r="E82" i="67"/>
  <c r="E83" i="67"/>
  <c r="E85" i="67"/>
  <c r="E86" i="67"/>
  <c r="E88" i="67"/>
  <c r="E89" i="67"/>
  <c r="E90" i="67"/>
  <c r="E91" i="67"/>
  <c r="E93" i="67"/>
  <c r="E94" i="67"/>
  <c r="E95" i="67"/>
  <c r="E96" i="67"/>
  <c r="E98" i="67"/>
  <c r="E99" i="67"/>
  <c r="E100" i="67"/>
  <c r="E101" i="67"/>
  <c r="E104" i="67"/>
  <c r="E106" i="67"/>
  <c r="E105" i="67" s="1"/>
  <c r="E108" i="67"/>
  <c r="E109" i="67"/>
  <c r="E110" i="67"/>
  <c r="E112" i="67"/>
  <c r="E113" i="67"/>
  <c r="E114" i="67"/>
  <c r="E122" i="67"/>
  <c r="E123" i="67"/>
  <c r="E124" i="67"/>
  <c r="E125" i="67"/>
  <c r="E126" i="67"/>
  <c r="E128" i="67"/>
  <c r="E130" i="67"/>
  <c r="E132" i="67"/>
  <c r="E133" i="67"/>
  <c r="E135" i="67"/>
  <c r="E136" i="67"/>
  <c r="E138" i="67"/>
  <c r="E139" i="67"/>
  <c r="E140" i="67"/>
  <c r="E141" i="67"/>
  <c r="E143" i="67"/>
  <c r="E144" i="67"/>
  <c r="E145" i="67"/>
  <c r="E146" i="67"/>
  <c r="E147" i="67"/>
  <c r="E149" i="67"/>
  <c r="E150" i="67"/>
  <c r="E151" i="67"/>
  <c r="E152" i="67"/>
  <c r="E153" i="67"/>
  <c r="E154" i="67"/>
  <c r="E156" i="67"/>
  <c r="E157" i="67"/>
  <c r="E160" i="67"/>
  <c r="E158" i="67" s="1"/>
  <c r="E162" i="67"/>
  <c r="E166" i="67"/>
  <c r="E168" i="67"/>
  <c r="E169" i="67"/>
  <c r="E170" i="67"/>
  <c r="E173" i="67"/>
  <c r="E183" i="67"/>
  <c r="E184" i="67"/>
  <c r="E185" i="67"/>
  <c r="E191" i="67"/>
  <c r="E192" i="67"/>
  <c r="E193" i="67"/>
  <c r="E194" i="67"/>
  <c r="E198" i="67"/>
  <c r="E199" i="67"/>
  <c r="E201" i="67"/>
  <c r="E200" i="67" s="1"/>
  <c r="E205" i="67"/>
  <c r="E207" i="67"/>
  <c r="E208" i="67"/>
  <c r="E97" i="67" l="1"/>
  <c r="E111" i="67"/>
  <c r="C9" i="67"/>
  <c r="C167" i="67"/>
  <c r="D167" i="67"/>
  <c r="F167" i="67"/>
  <c r="C131" i="67"/>
  <c r="D131" i="67"/>
  <c r="F131" i="67"/>
  <c r="C107" i="67"/>
  <c r="D107" i="67"/>
  <c r="F107" i="67"/>
  <c r="C97" i="67"/>
  <c r="D97" i="67"/>
  <c r="F97" i="67"/>
  <c r="C84" i="67"/>
  <c r="D84" i="67"/>
  <c r="F84" i="67"/>
  <c r="C67" i="67"/>
  <c r="F67" i="67"/>
  <c r="F202" i="67"/>
  <c r="M200" i="67"/>
  <c r="F200" i="67"/>
  <c r="F195" i="67"/>
  <c r="D195" i="67"/>
  <c r="F190" i="67"/>
  <c r="D190" i="67"/>
  <c r="C195" i="67"/>
  <c r="C190" i="67"/>
  <c r="F182" i="67"/>
  <c r="F187" i="67" s="1"/>
  <c r="D182" i="67"/>
  <c r="D187" i="67" s="1"/>
  <c r="C182" i="67"/>
  <c r="C187" i="67" s="1"/>
  <c r="F161" i="67"/>
  <c r="D161" i="67"/>
  <c r="F148" i="67"/>
  <c r="D148" i="67"/>
  <c r="F142" i="67"/>
  <c r="D142" i="67"/>
  <c r="F127" i="67"/>
  <c r="D127" i="67"/>
  <c r="F121" i="67"/>
  <c r="D121" i="67"/>
  <c r="C161" i="67"/>
  <c r="C148" i="67"/>
  <c r="C142" i="67"/>
  <c r="C127" i="67"/>
  <c r="C121" i="67"/>
  <c r="D87" i="67"/>
  <c r="F77" i="67"/>
  <c r="D77" i="67"/>
  <c r="C77" i="67"/>
  <c r="C87" i="67"/>
  <c r="F34" i="67"/>
  <c r="F25" i="67" s="1"/>
  <c r="D34" i="67"/>
  <c r="D25" i="67" s="1"/>
  <c r="F9" i="67"/>
  <c r="D9" i="67"/>
  <c r="C34" i="67"/>
  <c r="C25" i="67" s="1"/>
  <c r="C211" i="67" l="1"/>
  <c r="C118" i="67"/>
  <c r="C74" i="67"/>
  <c r="D179" i="67"/>
  <c r="D211" i="67"/>
  <c r="F211" i="67"/>
  <c r="F179" i="67"/>
  <c r="F118" i="67"/>
  <c r="F74" i="67"/>
  <c r="D118" i="67"/>
  <c r="C179" i="67"/>
  <c r="C219" i="67" l="1"/>
  <c r="F219" i="67"/>
  <c r="F123" i="71"/>
  <c r="F124" i="71"/>
  <c r="F125" i="71"/>
  <c r="F126" i="71"/>
  <c r="F127" i="71"/>
  <c r="F128" i="71"/>
  <c r="F129" i="71"/>
  <c r="F130" i="71"/>
  <c r="F122" i="71"/>
  <c r="F116" i="71"/>
  <c r="F117" i="71"/>
  <c r="F115" i="71"/>
  <c r="F78" i="71"/>
  <c r="F79" i="71"/>
  <c r="F80" i="71"/>
  <c r="F81" i="71"/>
  <c r="F82" i="71"/>
  <c r="F83" i="71"/>
  <c r="F84" i="71"/>
  <c r="F85" i="71"/>
  <c r="F86" i="71"/>
  <c r="F87" i="71"/>
  <c r="F88" i="71"/>
  <c r="F89" i="71"/>
  <c r="F90" i="71"/>
  <c r="F91" i="71"/>
  <c r="F92" i="71"/>
  <c r="F93" i="71"/>
  <c r="F94" i="71"/>
  <c r="F95" i="71"/>
  <c r="F96" i="71"/>
  <c r="F97" i="71"/>
  <c r="F98" i="71"/>
  <c r="F99" i="71"/>
  <c r="F100" i="71"/>
  <c r="F101" i="71"/>
  <c r="F102" i="71"/>
  <c r="F103" i="71"/>
  <c r="F104" i="71"/>
  <c r="F105" i="71"/>
  <c r="F106" i="71"/>
  <c r="F107" i="71"/>
  <c r="F108" i="71"/>
  <c r="F109" i="71"/>
  <c r="F110" i="71"/>
  <c r="F77" i="71"/>
  <c r="F45" i="71"/>
  <c r="F46" i="71"/>
  <c r="F47" i="71"/>
  <c r="F48" i="71"/>
  <c r="F49" i="71"/>
  <c r="F50" i="71"/>
  <c r="F51" i="71"/>
  <c r="F52" i="71"/>
  <c r="F53" i="71"/>
  <c r="F54" i="71"/>
  <c r="F55" i="71"/>
  <c r="F56" i="71"/>
  <c r="F57" i="71"/>
  <c r="F58" i="71"/>
  <c r="F59" i="71"/>
  <c r="F60" i="71"/>
  <c r="F61" i="71"/>
  <c r="F62" i="71"/>
  <c r="F63" i="71"/>
  <c r="F64" i="71"/>
  <c r="F65" i="71"/>
  <c r="F66" i="71"/>
  <c r="F67" i="71"/>
  <c r="F68" i="71"/>
  <c r="F69" i="71"/>
  <c r="F70" i="71"/>
  <c r="F71" i="71"/>
  <c r="F72" i="71"/>
  <c r="F44" i="71"/>
  <c r="F11" i="71"/>
  <c r="F12" i="71"/>
  <c r="F13" i="71"/>
  <c r="F14" i="71"/>
  <c r="F15" i="71"/>
  <c r="F16" i="71"/>
  <c r="F17" i="71"/>
  <c r="F18" i="71"/>
  <c r="F19" i="71"/>
  <c r="F20" i="71"/>
  <c r="F21" i="71"/>
  <c r="F22" i="71"/>
  <c r="F23" i="71"/>
  <c r="F24" i="71"/>
  <c r="F25" i="71"/>
  <c r="F26" i="71"/>
  <c r="F27" i="71"/>
  <c r="F28" i="71"/>
  <c r="F29" i="71"/>
  <c r="F30" i="71"/>
  <c r="F31" i="71"/>
  <c r="F32" i="71"/>
  <c r="F33" i="71"/>
  <c r="F34" i="71"/>
  <c r="F35" i="71"/>
  <c r="F36" i="71"/>
  <c r="F37" i="71"/>
  <c r="F38" i="71"/>
  <c r="F39" i="71"/>
  <c r="F10" i="71"/>
  <c r="E132" i="71"/>
  <c r="E119" i="71"/>
  <c r="E112" i="71"/>
  <c r="E74" i="71"/>
  <c r="E41" i="71"/>
  <c r="D132" i="71"/>
  <c r="D119" i="71"/>
  <c r="D112" i="71"/>
  <c r="D74" i="71"/>
  <c r="D41" i="71"/>
  <c r="C132" i="71"/>
  <c r="C119" i="71"/>
  <c r="C112" i="71"/>
  <c r="C74" i="71"/>
  <c r="C41" i="71"/>
  <c r="F119" i="71" l="1"/>
  <c r="F132" i="71"/>
  <c r="F112" i="71"/>
  <c r="F74" i="71"/>
  <c r="F41" i="71"/>
  <c r="D134" i="71"/>
  <c r="C134" i="71"/>
  <c r="E134" i="71"/>
  <c r="F134" i="71" l="1"/>
  <c r="H145" i="67"/>
  <c r="I145" i="67" s="1"/>
  <c r="K145" i="67"/>
  <c r="L145" i="67" s="1"/>
  <c r="G145" i="67"/>
  <c r="J145" i="67" l="1"/>
  <c r="M145" i="67"/>
  <c r="K208" i="67" l="1"/>
  <c r="L208" i="67" s="1"/>
  <c r="H208" i="67"/>
  <c r="I208" i="67" s="1"/>
  <c r="G208" i="67"/>
  <c r="K207" i="67"/>
  <c r="L207" i="67" s="1"/>
  <c r="H207" i="67"/>
  <c r="I207" i="67" s="1"/>
  <c r="K206" i="67"/>
  <c r="L206" i="67" s="1"/>
  <c r="H206" i="67"/>
  <c r="I206" i="67" s="1"/>
  <c r="E206" i="67"/>
  <c r="E204" i="67" s="1"/>
  <c r="K205" i="67"/>
  <c r="H205" i="67"/>
  <c r="K203" i="67"/>
  <c r="H203" i="67"/>
  <c r="E203" i="67"/>
  <c r="E202" i="67" s="1"/>
  <c r="K201" i="67"/>
  <c r="H201" i="67"/>
  <c r="K199" i="67"/>
  <c r="L199" i="67" s="1"/>
  <c r="H199" i="67"/>
  <c r="K198" i="67"/>
  <c r="H198" i="67"/>
  <c r="K197" i="67"/>
  <c r="L197" i="67" s="1"/>
  <c r="H197" i="67"/>
  <c r="I197" i="67" s="1"/>
  <c r="E197" i="67"/>
  <c r="K196" i="67"/>
  <c r="H196" i="67"/>
  <c r="E196" i="67"/>
  <c r="K194" i="67"/>
  <c r="L194" i="67" s="1"/>
  <c r="H194" i="67"/>
  <c r="K193" i="67"/>
  <c r="H193" i="67"/>
  <c r="K192" i="67"/>
  <c r="L192" i="67" s="1"/>
  <c r="H192" i="67"/>
  <c r="J192" i="67" s="1"/>
  <c r="K191" i="67"/>
  <c r="H191" i="67"/>
  <c r="K185" i="67"/>
  <c r="L185" i="67" s="1"/>
  <c r="H185" i="67"/>
  <c r="I185" i="67" s="1"/>
  <c r="G185" i="67"/>
  <c r="K184" i="67"/>
  <c r="L184" i="67" s="1"/>
  <c r="H184" i="67"/>
  <c r="I184" i="67" s="1"/>
  <c r="K183" i="67"/>
  <c r="H183" i="67"/>
  <c r="G183" i="67"/>
  <c r="K175" i="67"/>
  <c r="L175" i="67" s="1"/>
  <c r="H175" i="67"/>
  <c r="E175" i="67"/>
  <c r="E172" i="67" s="1"/>
  <c r="K173" i="67"/>
  <c r="H173" i="67"/>
  <c r="H172" i="67" s="1"/>
  <c r="G173" i="67"/>
  <c r="K176" i="67"/>
  <c r="H176" i="67"/>
  <c r="E176" i="67"/>
  <c r="K171" i="67"/>
  <c r="L171" i="67" s="1"/>
  <c r="H171" i="67"/>
  <c r="E171" i="67"/>
  <c r="G171" i="67" s="1"/>
  <c r="K170" i="67"/>
  <c r="L170" i="67" s="1"/>
  <c r="H170" i="67"/>
  <c r="G170" i="67"/>
  <c r="K169" i="67"/>
  <c r="L169" i="67" s="1"/>
  <c r="H169" i="67"/>
  <c r="G169" i="67"/>
  <c r="K168" i="67"/>
  <c r="H168" i="67"/>
  <c r="K166" i="67"/>
  <c r="L166" i="67" s="1"/>
  <c r="H166" i="67"/>
  <c r="G166" i="67"/>
  <c r="K162" i="67"/>
  <c r="H162" i="67"/>
  <c r="K160" i="67"/>
  <c r="K158" i="67" s="1"/>
  <c r="H160" i="67"/>
  <c r="H158" i="67" s="1"/>
  <c r="K157" i="67"/>
  <c r="L157" i="67" s="1"/>
  <c r="H157" i="67"/>
  <c r="I157" i="67" s="1"/>
  <c r="K156" i="67"/>
  <c r="L156" i="67" s="1"/>
  <c r="H156" i="67"/>
  <c r="I156" i="67" s="1"/>
  <c r="K154" i="67"/>
  <c r="L154" i="67" s="1"/>
  <c r="H154" i="67"/>
  <c r="I154" i="67" s="1"/>
  <c r="K153" i="67"/>
  <c r="L153" i="67" s="1"/>
  <c r="H153" i="67"/>
  <c r="I153" i="67" s="1"/>
  <c r="K152" i="67"/>
  <c r="L152" i="67" s="1"/>
  <c r="H152" i="67"/>
  <c r="I152" i="67" s="1"/>
  <c r="K151" i="67"/>
  <c r="L151" i="67" s="1"/>
  <c r="H151" i="67"/>
  <c r="I151" i="67" s="1"/>
  <c r="K150" i="67"/>
  <c r="L150" i="67" s="1"/>
  <c r="H150" i="67"/>
  <c r="I150" i="67" s="1"/>
  <c r="K149" i="67"/>
  <c r="H149" i="67"/>
  <c r="K147" i="67"/>
  <c r="L147" i="67" s="1"/>
  <c r="H147" i="67"/>
  <c r="I147" i="67" s="1"/>
  <c r="K146" i="67"/>
  <c r="L146" i="67" s="1"/>
  <c r="H146" i="67"/>
  <c r="I146" i="67" s="1"/>
  <c r="K144" i="67"/>
  <c r="L144" i="67" s="1"/>
  <c r="H144" i="67"/>
  <c r="I144" i="67" s="1"/>
  <c r="K143" i="67"/>
  <c r="H143" i="67"/>
  <c r="K141" i="67"/>
  <c r="L141" i="67" s="1"/>
  <c r="H141" i="67"/>
  <c r="I141" i="67" s="1"/>
  <c r="K140" i="67"/>
  <c r="L140" i="67" s="1"/>
  <c r="H140" i="67"/>
  <c r="I140" i="67" s="1"/>
  <c r="K139" i="67"/>
  <c r="L139" i="67" s="1"/>
  <c r="H139" i="67"/>
  <c r="I139" i="67" s="1"/>
  <c r="K138" i="67"/>
  <c r="L138" i="67" s="1"/>
  <c r="H138" i="67"/>
  <c r="I138" i="67" s="1"/>
  <c r="K136" i="67"/>
  <c r="L136" i="67" s="1"/>
  <c r="H136" i="67"/>
  <c r="I136" i="67" s="1"/>
  <c r="K135" i="67"/>
  <c r="L135" i="67" s="1"/>
  <c r="H135" i="67"/>
  <c r="I135" i="67" s="1"/>
  <c r="K133" i="67"/>
  <c r="L133" i="67" s="1"/>
  <c r="H133" i="67"/>
  <c r="I133" i="67" s="1"/>
  <c r="K132" i="67"/>
  <c r="H132" i="67"/>
  <c r="K130" i="67"/>
  <c r="L130" i="67" s="1"/>
  <c r="H130" i="67"/>
  <c r="I130" i="67" s="1"/>
  <c r="K129" i="67"/>
  <c r="L129" i="67" s="1"/>
  <c r="H129" i="67"/>
  <c r="I129" i="67" s="1"/>
  <c r="E129" i="67"/>
  <c r="K128" i="67"/>
  <c r="H128" i="67"/>
  <c r="K126" i="67"/>
  <c r="L126" i="67" s="1"/>
  <c r="H126" i="67"/>
  <c r="I126" i="67" s="1"/>
  <c r="K125" i="67"/>
  <c r="L125" i="67" s="1"/>
  <c r="H125" i="67"/>
  <c r="I125" i="67" s="1"/>
  <c r="K124" i="67"/>
  <c r="L124" i="67" s="1"/>
  <c r="H124" i="67"/>
  <c r="I124" i="67" s="1"/>
  <c r="K123" i="67"/>
  <c r="H123" i="67"/>
  <c r="K122" i="67"/>
  <c r="H122" i="67"/>
  <c r="G122" i="67"/>
  <c r="K114" i="67"/>
  <c r="L114" i="67" s="1"/>
  <c r="H114" i="67"/>
  <c r="K113" i="67"/>
  <c r="L113" i="67" s="1"/>
  <c r="H113" i="67"/>
  <c r="K112" i="67"/>
  <c r="H112" i="67"/>
  <c r="H111" i="67" s="1"/>
  <c r="K110" i="67"/>
  <c r="L110" i="67" s="1"/>
  <c r="H110" i="67"/>
  <c r="K109" i="67"/>
  <c r="L109" i="67" s="1"/>
  <c r="H109" i="67"/>
  <c r="K108" i="67"/>
  <c r="H108" i="67"/>
  <c r="K106" i="67"/>
  <c r="H106" i="67"/>
  <c r="H105" i="67" s="1"/>
  <c r="K104" i="67"/>
  <c r="L104" i="67" s="1"/>
  <c r="H104" i="67"/>
  <c r="K101" i="67"/>
  <c r="L101" i="67" s="1"/>
  <c r="H101" i="67"/>
  <c r="K100" i="67"/>
  <c r="L100" i="67" s="1"/>
  <c r="H100" i="67"/>
  <c r="K99" i="67"/>
  <c r="L99" i="67" s="1"/>
  <c r="H99" i="67"/>
  <c r="K98" i="67"/>
  <c r="H98" i="67"/>
  <c r="K96" i="67"/>
  <c r="H96" i="67"/>
  <c r="K95" i="67"/>
  <c r="L95" i="67" s="1"/>
  <c r="H95" i="67"/>
  <c r="K94" i="67"/>
  <c r="L94" i="67" s="1"/>
  <c r="H94" i="67"/>
  <c r="K93" i="67"/>
  <c r="L93" i="67" s="1"/>
  <c r="H93" i="67"/>
  <c r="K91" i="67"/>
  <c r="L91" i="67" s="1"/>
  <c r="H91" i="67"/>
  <c r="K90" i="67"/>
  <c r="L90" i="67" s="1"/>
  <c r="H90" i="67"/>
  <c r="K89" i="67"/>
  <c r="L89" i="67" s="1"/>
  <c r="H89" i="67"/>
  <c r="K88" i="67"/>
  <c r="H88" i="67"/>
  <c r="K86" i="67"/>
  <c r="L86" i="67" s="1"/>
  <c r="H86" i="67"/>
  <c r="K85" i="67"/>
  <c r="K84" i="67" s="1"/>
  <c r="H85" i="67"/>
  <c r="E84" i="67"/>
  <c r="K83" i="67"/>
  <c r="L83" i="67" s="1"/>
  <c r="H83" i="67"/>
  <c r="G83" i="67"/>
  <c r="K82" i="67"/>
  <c r="L82" i="67" s="1"/>
  <c r="H82" i="67"/>
  <c r="G82" i="67"/>
  <c r="K81" i="67"/>
  <c r="L81" i="67" s="1"/>
  <c r="H81" i="67"/>
  <c r="G81" i="67"/>
  <c r="K80" i="67"/>
  <c r="H80" i="67"/>
  <c r="G80" i="67"/>
  <c r="K79" i="67"/>
  <c r="L79" i="67" s="1"/>
  <c r="H79" i="67"/>
  <c r="K78" i="67"/>
  <c r="L78" i="67" s="1"/>
  <c r="H78" i="67"/>
  <c r="L76" i="67"/>
  <c r="M76" i="67" s="1"/>
  <c r="K73" i="67"/>
  <c r="L73" i="67" s="1"/>
  <c r="H73" i="67"/>
  <c r="I73" i="67" s="1"/>
  <c r="K72" i="67"/>
  <c r="L72" i="67" s="1"/>
  <c r="H72" i="67"/>
  <c r="E72" i="67"/>
  <c r="G72" i="67" s="1"/>
  <c r="K71" i="67"/>
  <c r="L71" i="67" s="1"/>
  <c r="H71" i="67"/>
  <c r="E71" i="67"/>
  <c r="G71" i="67" s="1"/>
  <c r="K69" i="67"/>
  <c r="L69" i="67" s="1"/>
  <c r="H69" i="67"/>
  <c r="E69" i="67"/>
  <c r="K68" i="67"/>
  <c r="H68" i="67"/>
  <c r="K66" i="67"/>
  <c r="H66" i="67"/>
  <c r="K65" i="67"/>
  <c r="L65" i="67" s="1"/>
  <c r="H65" i="67"/>
  <c r="K64" i="67"/>
  <c r="H64" i="67"/>
  <c r="K63" i="67"/>
  <c r="H63" i="67"/>
  <c r="K62" i="67"/>
  <c r="L62" i="67" s="1"/>
  <c r="H62" i="67"/>
  <c r="K61" i="67"/>
  <c r="L61" i="67" s="1"/>
  <c r="H61" i="67"/>
  <c r="K60" i="67"/>
  <c r="L60" i="67" s="1"/>
  <c r="H60" i="67"/>
  <c r="K59" i="67"/>
  <c r="H59" i="67"/>
  <c r="K58" i="67"/>
  <c r="L58" i="67" s="1"/>
  <c r="H58" i="67"/>
  <c r="K57" i="67"/>
  <c r="H57" i="67"/>
  <c r="K56" i="67"/>
  <c r="H56" i="67"/>
  <c r="K55" i="67"/>
  <c r="H55" i="67"/>
  <c r="K54" i="67"/>
  <c r="L54" i="67" s="1"/>
  <c r="H54" i="67"/>
  <c r="K53" i="67"/>
  <c r="L53" i="67" s="1"/>
  <c r="H53" i="67"/>
  <c r="K52" i="67"/>
  <c r="L52" i="67" s="1"/>
  <c r="H52" i="67"/>
  <c r="K51" i="67"/>
  <c r="L51" i="67" s="1"/>
  <c r="H51" i="67"/>
  <c r="K50" i="67"/>
  <c r="H50" i="67"/>
  <c r="K49" i="67"/>
  <c r="H49" i="67"/>
  <c r="K48" i="67"/>
  <c r="H48" i="67"/>
  <c r="K47" i="67"/>
  <c r="H47" i="67"/>
  <c r="K46" i="67"/>
  <c r="H46" i="67"/>
  <c r="K45" i="67"/>
  <c r="H45" i="67"/>
  <c r="K44" i="67"/>
  <c r="H44" i="67"/>
  <c r="K43" i="67"/>
  <c r="L43" i="67" s="1"/>
  <c r="H43" i="67"/>
  <c r="K42" i="67"/>
  <c r="L42" i="67" s="1"/>
  <c r="H42" i="67"/>
  <c r="K40" i="67"/>
  <c r="L40" i="67" s="1"/>
  <c r="H40" i="67"/>
  <c r="G40" i="67"/>
  <c r="K39" i="67"/>
  <c r="H39" i="67"/>
  <c r="K38" i="67"/>
  <c r="L38" i="67" s="1"/>
  <c r="H38" i="67"/>
  <c r="K37" i="67"/>
  <c r="H37" i="67"/>
  <c r="G37" i="67"/>
  <c r="K36" i="67"/>
  <c r="L36" i="67" s="1"/>
  <c r="H36" i="67"/>
  <c r="K35" i="67"/>
  <c r="H35" i="67"/>
  <c r="G35" i="67"/>
  <c r="K32" i="67"/>
  <c r="L32" i="67" s="1"/>
  <c r="H32" i="67"/>
  <c r="G32" i="67"/>
  <c r="K31" i="67"/>
  <c r="L31" i="67" s="1"/>
  <c r="H31" i="67"/>
  <c r="G31" i="67"/>
  <c r="K30" i="67"/>
  <c r="L30" i="67" s="1"/>
  <c r="H30" i="67"/>
  <c r="K29" i="67"/>
  <c r="H29" i="67"/>
  <c r="G29" i="67"/>
  <c r="K28" i="67"/>
  <c r="L28" i="67" s="1"/>
  <c r="H28" i="67"/>
  <c r="G28" i="67"/>
  <c r="K27" i="67"/>
  <c r="H27" i="67"/>
  <c r="I27" i="67" s="1"/>
  <c r="G27" i="67"/>
  <c r="K26" i="67"/>
  <c r="H26" i="67"/>
  <c r="K24" i="67"/>
  <c r="L24" i="67" s="1"/>
  <c r="H24" i="67"/>
  <c r="I24" i="67" s="1"/>
  <c r="G24" i="67"/>
  <c r="K23" i="67"/>
  <c r="H23" i="67"/>
  <c r="I23" i="67" s="1"/>
  <c r="K22" i="67"/>
  <c r="H22" i="67"/>
  <c r="I22" i="67" s="1"/>
  <c r="G22" i="67"/>
  <c r="K21" i="67"/>
  <c r="H21" i="67"/>
  <c r="I21" i="67" s="1"/>
  <c r="K20" i="67"/>
  <c r="L20" i="67" s="1"/>
  <c r="K19" i="67"/>
  <c r="H19" i="67"/>
  <c r="K18" i="67"/>
  <c r="H18" i="67"/>
  <c r="G18" i="67"/>
  <c r="K17" i="67"/>
  <c r="H17" i="67"/>
  <c r="G17" i="67"/>
  <c r="K16" i="67"/>
  <c r="H16" i="67"/>
  <c r="G16" i="67"/>
  <c r="K15" i="67"/>
  <c r="H15" i="67"/>
  <c r="G15" i="67"/>
  <c r="K14" i="67"/>
  <c r="H14" i="67"/>
  <c r="K12" i="67"/>
  <c r="H12" i="67"/>
  <c r="H11" i="67" s="1"/>
  <c r="G12" i="67"/>
  <c r="G11" i="67" s="1"/>
  <c r="K10" i="67"/>
  <c r="H10" i="67"/>
  <c r="H9" i="67" s="1"/>
  <c r="H204" i="67" l="1"/>
  <c r="K107" i="67"/>
  <c r="K172" i="67"/>
  <c r="K204" i="67"/>
  <c r="K111" i="67"/>
  <c r="H131" i="67"/>
  <c r="L12" i="67"/>
  <c r="L11" i="67" s="1"/>
  <c r="K11" i="67"/>
  <c r="E167" i="67"/>
  <c r="K67" i="67"/>
  <c r="K182" i="67"/>
  <c r="K187" i="67" s="1"/>
  <c r="K13" i="67"/>
  <c r="H190" i="67"/>
  <c r="E67" i="67"/>
  <c r="K97" i="67"/>
  <c r="E107" i="67"/>
  <c r="K167" i="67"/>
  <c r="G203" i="67"/>
  <c r="G202" i="67" s="1"/>
  <c r="I205" i="67"/>
  <c r="I204" i="67" s="1"/>
  <c r="L9" i="67"/>
  <c r="K9" i="67"/>
  <c r="H67" i="67"/>
  <c r="H84" i="67"/>
  <c r="H107" i="67"/>
  <c r="E131" i="67"/>
  <c r="H182" i="67"/>
  <c r="H187" i="67" s="1"/>
  <c r="J191" i="67"/>
  <c r="E190" i="67"/>
  <c r="E195" i="67"/>
  <c r="I203" i="67"/>
  <c r="I202" i="67" s="1"/>
  <c r="H202" i="67"/>
  <c r="L205" i="67"/>
  <c r="L204" i="67" s="1"/>
  <c r="I196" i="67"/>
  <c r="H195" i="67"/>
  <c r="I201" i="67"/>
  <c r="I200" i="67" s="1"/>
  <c r="H200" i="67"/>
  <c r="L203" i="67"/>
  <c r="L202" i="67" s="1"/>
  <c r="K202" i="67"/>
  <c r="H97" i="67"/>
  <c r="K131" i="67"/>
  <c r="H167" i="67"/>
  <c r="E182" i="67"/>
  <c r="E187" i="67" s="1"/>
  <c r="K190" i="67"/>
  <c r="L196" i="67"/>
  <c r="L195" i="67" s="1"/>
  <c r="K195" i="67"/>
  <c r="L201" i="67"/>
  <c r="L200" i="67" s="1"/>
  <c r="K200" i="67"/>
  <c r="G205" i="67"/>
  <c r="J201" i="67"/>
  <c r="J200" i="67" s="1"/>
  <c r="J207" i="67"/>
  <c r="J199" i="67"/>
  <c r="J206" i="67"/>
  <c r="J193" i="67"/>
  <c r="J194" i="67"/>
  <c r="J196" i="67"/>
  <c r="J197" i="67"/>
  <c r="J198" i="67"/>
  <c r="M206" i="67"/>
  <c r="M207" i="67"/>
  <c r="E148" i="67"/>
  <c r="E142" i="67"/>
  <c r="H161" i="67"/>
  <c r="J64" i="67"/>
  <c r="L132" i="67"/>
  <c r="L131" i="67" s="1"/>
  <c r="L143" i="67"/>
  <c r="L142" i="67" s="1"/>
  <c r="K142" i="67"/>
  <c r="L149" i="67"/>
  <c r="L148" i="67" s="1"/>
  <c r="K148" i="67"/>
  <c r="L160" i="67"/>
  <c r="L158" i="67" s="1"/>
  <c r="E121" i="67"/>
  <c r="E127" i="67"/>
  <c r="G162" i="67"/>
  <c r="G161" i="67" s="1"/>
  <c r="E161" i="67"/>
  <c r="L168" i="67"/>
  <c r="L167" i="67" s="1"/>
  <c r="L176" i="67"/>
  <c r="L172" i="67" s="1"/>
  <c r="I123" i="67"/>
  <c r="H121" i="67"/>
  <c r="I128" i="67"/>
  <c r="I127" i="67" s="1"/>
  <c r="H127" i="67"/>
  <c r="L123" i="67"/>
  <c r="M123" i="67" s="1"/>
  <c r="K121" i="67"/>
  <c r="L128" i="67"/>
  <c r="L127" i="67" s="1"/>
  <c r="K127" i="67"/>
  <c r="J130" i="67"/>
  <c r="I132" i="67"/>
  <c r="I131" i="67" s="1"/>
  <c r="J141" i="67"/>
  <c r="I143" i="67"/>
  <c r="I142" i="67" s="1"/>
  <c r="H142" i="67"/>
  <c r="I149" i="67"/>
  <c r="I148" i="67" s="1"/>
  <c r="H148" i="67"/>
  <c r="I160" i="67"/>
  <c r="I158" i="67" s="1"/>
  <c r="L162" i="67"/>
  <c r="L161" i="67" s="1"/>
  <c r="K161" i="67"/>
  <c r="G168" i="67"/>
  <c r="G167" i="67" s="1"/>
  <c r="G176" i="67"/>
  <c r="J123" i="67"/>
  <c r="J129" i="67"/>
  <c r="J135" i="67"/>
  <c r="J140" i="67"/>
  <c r="J151" i="67"/>
  <c r="J156" i="67"/>
  <c r="J126" i="67"/>
  <c r="J128" i="67"/>
  <c r="J150" i="67"/>
  <c r="J154" i="67"/>
  <c r="J175" i="67"/>
  <c r="J144" i="67"/>
  <c r="J143" i="67"/>
  <c r="J149" i="67"/>
  <c r="H77" i="67"/>
  <c r="J125" i="67"/>
  <c r="J133" i="67"/>
  <c r="J139" i="67"/>
  <c r="J146" i="67"/>
  <c r="J147" i="67"/>
  <c r="J152" i="67"/>
  <c r="J153" i="67"/>
  <c r="J160" i="67"/>
  <c r="J158" i="67" s="1"/>
  <c r="H87" i="67"/>
  <c r="L106" i="67"/>
  <c r="L105" i="67" s="1"/>
  <c r="K105" i="67"/>
  <c r="L112" i="67"/>
  <c r="L111" i="67" s="1"/>
  <c r="G85" i="67"/>
  <c r="L88" i="67"/>
  <c r="L87" i="67" s="1"/>
  <c r="K87" i="67"/>
  <c r="L98" i="67"/>
  <c r="L97" i="67" s="1"/>
  <c r="G79" i="67"/>
  <c r="E77" i="67"/>
  <c r="L80" i="67"/>
  <c r="L77" i="67" s="1"/>
  <c r="K77" i="67"/>
  <c r="L85" i="67"/>
  <c r="L84" i="67" s="1"/>
  <c r="E87" i="67"/>
  <c r="L107" i="67"/>
  <c r="J104" i="67"/>
  <c r="J109" i="67"/>
  <c r="J44" i="67"/>
  <c r="J46" i="67"/>
  <c r="J88" i="67"/>
  <c r="I26" i="67"/>
  <c r="H34" i="67"/>
  <c r="H25" i="67" s="1"/>
  <c r="L13" i="67"/>
  <c r="L26" i="67"/>
  <c r="L25" i="67" s="1"/>
  <c r="L34" i="67"/>
  <c r="K34" i="67"/>
  <c r="K25" i="67" s="1"/>
  <c r="L68" i="67"/>
  <c r="L67" i="67" s="1"/>
  <c r="J23" i="67"/>
  <c r="J21" i="67"/>
  <c r="G10" i="67"/>
  <c r="G9" i="67" s="1"/>
  <c r="M52" i="67"/>
  <c r="J22" i="67"/>
  <c r="J24" i="67"/>
  <c r="J27" i="67"/>
  <c r="J45" i="67"/>
  <c r="M60" i="67"/>
  <c r="M61" i="67"/>
  <c r="J65" i="67"/>
  <c r="J136" i="67"/>
  <c r="M199" i="67"/>
  <c r="J205" i="67"/>
  <c r="M12" i="67"/>
  <c r="M11" i="67" s="1"/>
  <c r="G156" i="67"/>
  <c r="L190" i="67"/>
  <c r="G206" i="67"/>
  <c r="M19" i="67"/>
  <c r="M21" i="67"/>
  <c r="M39" i="67"/>
  <c r="M42" i="67"/>
  <c r="J55" i="67"/>
  <c r="G126" i="67"/>
  <c r="G129" i="67"/>
  <c r="G140" i="67"/>
  <c r="G141" i="67"/>
  <c r="G144" i="67"/>
  <c r="G146" i="67"/>
  <c r="G149" i="67"/>
  <c r="G150" i="67"/>
  <c r="G151" i="67"/>
  <c r="G152" i="67"/>
  <c r="J185" i="67"/>
  <c r="M185" i="67"/>
  <c r="M187" i="67" s="1"/>
  <c r="M194" i="67"/>
  <c r="G197" i="67"/>
  <c r="J203" i="67"/>
  <c r="J202" i="67" s="1"/>
  <c r="G207" i="67"/>
  <c r="J208" i="67"/>
  <c r="M208" i="67"/>
  <c r="J184" i="67"/>
  <c r="J101" i="67"/>
  <c r="M90" i="67"/>
  <c r="M59" i="67"/>
  <c r="M58" i="67"/>
  <c r="J56" i="67"/>
  <c r="J38" i="67"/>
  <c r="J26" i="67"/>
  <c r="J157" i="67"/>
  <c r="J138" i="67"/>
  <c r="J132" i="67"/>
  <c r="J124" i="67"/>
  <c r="M99" i="67"/>
  <c r="J94" i="67"/>
  <c r="G136" i="67"/>
  <c r="G133" i="67"/>
  <c r="G132" i="67"/>
  <c r="G125" i="67"/>
  <c r="G124" i="67"/>
  <c r="G184" i="67"/>
  <c r="G182" i="67" s="1"/>
  <c r="G187" i="67" s="1"/>
  <c r="M23" i="67"/>
  <c r="M40" i="67"/>
  <c r="J19" i="67"/>
  <c r="G21" i="67"/>
  <c r="M22" i="67"/>
  <c r="G23" i="67"/>
  <c r="M24" i="67"/>
  <c r="G26" i="67"/>
  <c r="J30" i="67"/>
  <c r="J36" i="67"/>
  <c r="M37" i="67"/>
  <c r="J39" i="67"/>
  <c r="J42" i="67"/>
  <c r="J48" i="67"/>
  <c r="J52" i="67"/>
  <c r="J53" i="67"/>
  <c r="J57" i="67"/>
  <c r="J58" i="67"/>
  <c r="J59" i="67"/>
  <c r="J60" i="67"/>
  <c r="J61" i="67"/>
  <c r="J62" i="67"/>
  <c r="M64" i="67"/>
  <c r="M65" i="67"/>
  <c r="M66" i="67"/>
  <c r="J69" i="67"/>
  <c r="J91" i="67"/>
  <c r="M93" i="67"/>
  <c r="J98" i="67"/>
  <c r="M101" i="67"/>
  <c r="J108" i="67"/>
  <c r="M114" i="67"/>
  <c r="G123" i="67"/>
  <c r="M126" i="67"/>
  <c r="G128" i="67"/>
  <c r="M129" i="67"/>
  <c r="G130" i="67"/>
  <c r="G135" i="67"/>
  <c r="M136" i="67"/>
  <c r="G138" i="67"/>
  <c r="G139" i="67"/>
  <c r="G143" i="67"/>
  <c r="M146" i="67"/>
  <c r="G147" i="67"/>
  <c r="M152" i="67"/>
  <c r="G153" i="67"/>
  <c r="G154" i="67"/>
  <c r="M156" i="67"/>
  <c r="G157" i="67"/>
  <c r="G160" i="67"/>
  <c r="G158" i="67" s="1"/>
  <c r="M175" i="67"/>
  <c r="M130" i="67"/>
  <c r="M135" i="67"/>
  <c r="M154" i="67"/>
  <c r="M184" i="67"/>
  <c r="M147" i="67"/>
  <c r="M139" i="67"/>
  <c r="M133" i="67"/>
  <c r="M113" i="67"/>
  <c r="J112" i="67"/>
  <c r="M110" i="67"/>
  <c r="M109" i="67"/>
  <c r="M104" i="67"/>
  <c r="M100" i="67"/>
  <c r="J99" i="67"/>
  <c r="M95" i="67"/>
  <c r="J90" i="67"/>
  <c r="M89" i="67"/>
  <c r="M86" i="67"/>
  <c r="J68" i="67"/>
  <c r="J66" i="67"/>
  <c r="M63" i="67"/>
  <c r="J63" i="67"/>
  <c r="M54" i="67"/>
  <c r="J54" i="67"/>
  <c r="J51" i="67"/>
  <c r="J50" i="67"/>
  <c r="J49" i="67"/>
  <c r="J47" i="67"/>
  <c r="J43" i="67"/>
  <c r="M38" i="67"/>
  <c r="M36" i="67"/>
  <c r="M32" i="67"/>
  <c r="I183" i="67"/>
  <c r="I182" i="67" s="1"/>
  <c r="I187" i="67" s="1"/>
  <c r="M157" i="67"/>
  <c r="M153" i="67"/>
  <c r="M151" i="67"/>
  <c r="M150" i="67"/>
  <c r="M144" i="67"/>
  <c r="M141" i="67"/>
  <c r="M140" i="67"/>
  <c r="M138" i="67"/>
  <c r="M125" i="67"/>
  <c r="M124" i="67"/>
  <c r="I122" i="67"/>
  <c r="J114" i="67"/>
  <c r="J113" i="67"/>
  <c r="J110" i="67"/>
  <c r="J106" i="67"/>
  <c r="J105" i="67" s="1"/>
  <c r="J100" i="67"/>
  <c r="J96" i="67"/>
  <c r="J95" i="67"/>
  <c r="M94" i="67"/>
  <c r="J93" i="67"/>
  <c r="M91" i="67"/>
  <c r="J89" i="67"/>
  <c r="J86" i="67"/>
  <c r="M69" i="67"/>
  <c r="M62" i="67"/>
  <c r="M53" i="67"/>
  <c r="M51" i="67"/>
  <c r="M43" i="67"/>
  <c r="M31" i="67"/>
  <c r="M30" i="67"/>
  <c r="M28" i="67"/>
  <c r="J14" i="67"/>
  <c r="J10" i="67"/>
  <c r="J9" i="67" s="1"/>
  <c r="J12" i="67"/>
  <c r="J11" i="67" s="1"/>
  <c r="J15" i="67"/>
  <c r="J16" i="67"/>
  <c r="J17" i="67"/>
  <c r="J18" i="67"/>
  <c r="G20" i="67"/>
  <c r="J28" i="67"/>
  <c r="J29" i="67"/>
  <c r="J31" i="67"/>
  <c r="J32" i="67"/>
  <c r="J35" i="67"/>
  <c r="J37" i="67"/>
  <c r="J40" i="67"/>
  <c r="I10" i="67"/>
  <c r="I9" i="67" s="1"/>
  <c r="I12" i="67"/>
  <c r="I11" i="67" s="1"/>
  <c r="G14" i="67"/>
  <c r="I14" i="67"/>
  <c r="I15" i="67"/>
  <c r="I16" i="67"/>
  <c r="I17" i="67"/>
  <c r="I18" i="67"/>
  <c r="G19" i="67"/>
  <c r="I19" i="67"/>
  <c r="H20" i="67"/>
  <c r="H13" i="67" s="1"/>
  <c r="I28" i="67"/>
  <c r="I29" i="67"/>
  <c r="G30" i="67"/>
  <c r="I30" i="67"/>
  <c r="I31" i="67"/>
  <c r="I32" i="67"/>
  <c r="I35" i="67"/>
  <c r="G36" i="67"/>
  <c r="I36" i="67"/>
  <c r="I37" i="67"/>
  <c r="G38" i="67"/>
  <c r="I38" i="67"/>
  <c r="G39" i="67"/>
  <c r="I39" i="67"/>
  <c r="I40" i="67"/>
  <c r="G42" i="67"/>
  <c r="I42" i="67"/>
  <c r="G43" i="67"/>
  <c r="I43" i="67"/>
  <c r="G44" i="67"/>
  <c r="I44" i="67"/>
  <c r="G45" i="67"/>
  <c r="I45" i="67"/>
  <c r="G46" i="67"/>
  <c r="I46" i="67"/>
  <c r="G47" i="67"/>
  <c r="I47" i="67"/>
  <c r="G48" i="67"/>
  <c r="I48" i="67"/>
  <c r="G49" i="67"/>
  <c r="I49" i="67"/>
  <c r="G50" i="67"/>
  <c r="I50" i="67"/>
  <c r="G51" i="67"/>
  <c r="I51" i="67"/>
  <c r="G52" i="67"/>
  <c r="I52" i="67"/>
  <c r="G53" i="67"/>
  <c r="I53" i="67"/>
  <c r="G54" i="67"/>
  <c r="I54" i="67"/>
  <c r="G55" i="67"/>
  <c r="I55" i="67"/>
  <c r="G56" i="67"/>
  <c r="I56" i="67"/>
  <c r="G57" i="67"/>
  <c r="I57" i="67"/>
  <c r="G58" i="67"/>
  <c r="I58" i="67"/>
  <c r="G59" i="67"/>
  <c r="I59" i="67"/>
  <c r="G60" i="67"/>
  <c r="I60" i="67"/>
  <c r="G61" i="67"/>
  <c r="I61" i="67"/>
  <c r="G62" i="67"/>
  <c r="I62" i="67"/>
  <c r="G63" i="67"/>
  <c r="I63" i="67"/>
  <c r="G64" i="67"/>
  <c r="I64" i="67"/>
  <c r="G65" i="67"/>
  <c r="I65" i="67"/>
  <c r="G66" i="67"/>
  <c r="I66" i="67"/>
  <c r="G68" i="67"/>
  <c r="I68" i="67"/>
  <c r="G69" i="67"/>
  <c r="I69" i="67"/>
  <c r="M71" i="67"/>
  <c r="I71" i="67"/>
  <c r="J72" i="67"/>
  <c r="M78" i="67"/>
  <c r="I78" i="67"/>
  <c r="J79" i="67"/>
  <c r="I80" i="67"/>
  <c r="J81" i="67"/>
  <c r="M82" i="67"/>
  <c r="I82" i="67"/>
  <c r="J83" i="67"/>
  <c r="I85" i="67"/>
  <c r="J71" i="67"/>
  <c r="M72" i="67"/>
  <c r="I72" i="67"/>
  <c r="M73" i="67"/>
  <c r="G78" i="67"/>
  <c r="J78" i="67"/>
  <c r="M79" i="67"/>
  <c r="I79" i="67"/>
  <c r="J80" i="67"/>
  <c r="M81" i="67"/>
  <c r="I81" i="67"/>
  <c r="J82" i="67"/>
  <c r="M83" i="67"/>
  <c r="I83" i="67"/>
  <c r="J85" i="67"/>
  <c r="G86" i="67"/>
  <c r="I86" i="67"/>
  <c r="G88" i="67"/>
  <c r="I88" i="67"/>
  <c r="G89" i="67"/>
  <c r="I89" i="67"/>
  <c r="G90" i="67"/>
  <c r="I90" i="67"/>
  <c r="G91" i="67"/>
  <c r="I91" i="67"/>
  <c r="G93" i="67"/>
  <c r="I93" i="67"/>
  <c r="G94" i="67"/>
  <c r="I94" i="67"/>
  <c r="G95" i="67"/>
  <c r="I95" i="67"/>
  <c r="G96" i="67"/>
  <c r="I96" i="67"/>
  <c r="G98" i="67"/>
  <c r="I98" i="67"/>
  <c r="G99" i="67"/>
  <c r="I99" i="67"/>
  <c r="G100" i="67"/>
  <c r="I100" i="67"/>
  <c r="G101" i="67"/>
  <c r="I101" i="67"/>
  <c r="G104" i="67"/>
  <c r="I104" i="67"/>
  <c r="G106" i="67"/>
  <c r="G105" i="67" s="1"/>
  <c r="I106" i="67"/>
  <c r="I105" i="67" s="1"/>
  <c r="G108" i="67"/>
  <c r="I108" i="67"/>
  <c r="G109" i="67"/>
  <c r="I109" i="67"/>
  <c r="G110" i="67"/>
  <c r="I110" i="67"/>
  <c r="G112" i="67"/>
  <c r="I112" i="67"/>
  <c r="G113" i="67"/>
  <c r="I113" i="67"/>
  <c r="G114" i="67"/>
  <c r="I114" i="67"/>
  <c r="J122" i="67"/>
  <c r="L122" i="67"/>
  <c r="J162" i="67"/>
  <c r="M166" i="67"/>
  <c r="I166" i="67"/>
  <c r="J168" i="67"/>
  <c r="M169" i="67"/>
  <c r="I169" i="67"/>
  <c r="J170" i="67"/>
  <c r="M171" i="67"/>
  <c r="I171" i="67"/>
  <c r="J176" i="67"/>
  <c r="I173" i="67"/>
  <c r="I162" i="67"/>
  <c r="J166" i="67"/>
  <c r="I168" i="67"/>
  <c r="J169" i="67"/>
  <c r="M170" i="67"/>
  <c r="I170" i="67"/>
  <c r="J171" i="67"/>
  <c r="I176" i="67"/>
  <c r="J173" i="67"/>
  <c r="G175" i="67"/>
  <c r="G172" i="67" s="1"/>
  <c r="I175" i="67"/>
  <c r="J183" i="67"/>
  <c r="L183" i="67"/>
  <c r="G191" i="67"/>
  <c r="I191" i="67"/>
  <c r="G192" i="67"/>
  <c r="G193" i="67"/>
  <c r="I193" i="67"/>
  <c r="G194" i="67"/>
  <c r="I194" i="67"/>
  <c r="G196" i="67"/>
  <c r="G198" i="67"/>
  <c r="I198" i="67"/>
  <c r="G199" i="67"/>
  <c r="I199" i="67"/>
  <c r="G201" i="67"/>
  <c r="G200" i="67" s="1"/>
  <c r="I172" i="67" l="1"/>
  <c r="J172" i="67"/>
  <c r="J204" i="67"/>
  <c r="G204" i="67"/>
  <c r="M143" i="67"/>
  <c r="M142" i="67" s="1"/>
  <c r="M9" i="67"/>
  <c r="M203" i="67"/>
  <c r="M202" i="67" s="1"/>
  <c r="G111" i="67"/>
  <c r="G13" i="67"/>
  <c r="I111" i="67"/>
  <c r="J111" i="67"/>
  <c r="M205" i="67"/>
  <c r="M204" i="67" s="1"/>
  <c r="I84" i="67"/>
  <c r="H211" i="67"/>
  <c r="I107" i="67"/>
  <c r="J84" i="67"/>
  <c r="G67" i="67"/>
  <c r="G190" i="67"/>
  <c r="J131" i="67"/>
  <c r="G84" i="67"/>
  <c r="G77" i="67"/>
  <c r="I97" i="67"/>
  <c r="I67" i="67"/>
  <c r="E211" i="67"/>
  <c r="G195" i="67"/>
  <c r="G107" i="67"/>
  <c r="G97" i="67"/>
  <c r="J167" i="67"/>
  <c r="G131" i="67"/>
  <c r="I121" i="67"/>
  <c r="K211" i="67"/>
  <c r="I190" i="67"/>
  <c r="I167" i="67"/>
  <c r="J107" i="67"/>
  <c r="M195" i="67"/>
  <c r="J67" i="67"/>
  <c r="J97" i="67"/>
  <c r="L211" i="67"/>
  <c r="J195" i="67"/>
  <c r="I195" i="67"/>
  <c r="J190" i="67"/>
  <c r="M132" i="67"/>
  <c r="M131" i="67" s="1"/>
  <c r="G142" i="67"/>
  <c r="L121" i="67"/>
  <c r="M168" i="67"/>
  <c r="M167" i="67" s="1"/>
  <c r="J182" i="67"/>
  <c r="J187" i="67" s="1"/>
  <c r="M183" i="67"/>
  <c r="M182" i="67" s="1"/>
  <c r="L182" i="67"/>
  <c r="L187" i="67" s="1"/>
  <c r="M149" i="67"/>
  <c r="M148" i="67" s="1"/>
  <c r="J127" i="67"/>
  <c r="M128" i="67"/>
  <c r="M127" i="67" s="1"/>
  <c r="M160" i="67"/>
  <c r="M158" i="67" s="1"/>
  <c r="G121" i="67"/>
  <c r="M176" i="67"/>
  <c r="M172" i="67" s="1"/>
  <c r="I161" i="67"/>
  <c r="J148" i="67"/>
  <c r="K179" i="67"/>
  <c r="H179" i="67"/>
  <c r="M162" i="67"/>
  <c r="M161" i="67" s="1"/>
  <c r="J161" i="67"/>
  <c r="G127" i="67"/>
  <c r="G148" i="67"/>
  <c r="J142" i="67"/>
  <c r="J121" i="67"/>
  <c r="E179" i="67"/>
  <c r="M106" i="67"/>
  <c r="M105" i="67" s="1"/>
  <c r="H118" i="67"/>
  <c r="M107" i="67"/>
  <c r="M85" i="67"/>
  <c r="M84" i="67" s="1"/>
  <c r="L118" i="67"/>
  <c r="I77" i="67"/>
  <c r="I87" i="67"/>
  <c r="M80" i="67"/>
  <c r="M88" i="67"/>
  <c r="M87" i="67" s="1"/>
  <c r="J87" i="67"/>
  <c r="E118" i="67"/>
  <c r="G87" i="67"/>
  <c r="J77" i="67"/>
  <c r="M112" i="67"/>
  <c r="M111" i="67" s="1"/>
  <c r="M98" i="67"/>
  <c r="M97" i="67" s="1"/>
  <c r="K118" i="67"/>
  <c r="M34" i="67"/>
  <c r="H74" i="67"/>
  <c r="I34" i="67"/>
  <c r="I25" i="67" s="1"/>
  <c r="G34" i="67"/>
  <c r="G25" i="67" s="1"/>
  <c r="K74" i="67"/>
  <c r="L74" i="67"/>
  <c r="M26" i="67"/>
  <c r="M68" i="67"/>
  <c r="M67" i="67" s="1"/>
  <c r="J34" i="67"/>
  <c r="J25" i="67" s="1"/>
  <c r="E74" i="67"/>
  <c r="M190" i="67"/>
  <c r="M122" i="67"/>
  <c r="M20" i="67"/>
  <c r="I20" i="67"/>
  <c r="I13" i="67" s="1"/>
  <c r="J20" i="67"/>
  <c r="J13" i="67" s="1"/>
  <c r="L179" i="67" l="1"/>
  <c r="L219" i="67" s="1"/>
  <c r="E219" i="67"/>
  <c r="M25" i="67"/>
  <c r="K219" i="67"/>
  <c r="H219" i="67"/>
  <c r="M13" i="67"/>
  <c r="M211" i="67"/>
  <c r="G211" i="67"/>
  <c r="J211" i="67"/>
  <c r="I211" i="67"/>
  <c r="I179" i="67"/>
  <c r="J179" i="67"/>
  <c r="G179" i="67"/>
  <c r="M121" i="67"/>
  <c r="M179" i="67" s="1"/>
  <c r="G118" i="67"/>
  <c r="I118" i="67"/>
  <c r="M77" i="67"/>
  <c r="M118" i="67" s="1"/>
  <c r="J118" i="67"/>
  <c r="J74" i="67"/>
  <c r="G74" i="67"/>
  <c r="I74" i="67"/>
  <c r="M74" i="67" l="1"/>
  <c r="M219" i="67" s="1"/>
  <c r="G219" i="67"/>
  <c r="I219" i="67"/>
  <c r="J219" i="67"/>
  <c r="D74" i="67"/>
  <c r="D219" i="67" s="1"/>
  <c r="L14" i="79"/>
  <c r="L76" i="79" s="1"/>
  <c r="L218" i="79" s="1"/>
  <c r="M14" i="79"/>
  <c r="M76" i="79" l="1"/>
  <c r="M218" i="79" s="1"/>
</calcChain>
</file>

<file path=xl/comments1.xml><?xml version="1.0" encoding="utf-8"?>
<comments xmlns="http://schemas.openxmlformats.org/spreadsheetml/2006/main">
  <authors>
    <author>tesoreria.pc13</author>
  </authors>
  <commentList>
    <comment ref="L16" authorId="0" shapeId="0">
      <text>
        <r>
          <rPr>
            <b/>
            <sz val="9"/>
            <color indexed="81"/>
            <rFont val="Tahoma"/>
            <charset val="1"/>
          </rPr>
          <t>tesoreria.pc13:</t>
        </r>
        <r>
          <rPr>
            <sz val="9"/>
            <color indexed="81"/>
            <rFont val="Tahoma"/>
            <charset val="1"/>
          </rPr>
          <t xml:space="preserve">
aquí reste el ejercido menos el pagado
</t>
        </r>
      </text>
    </comment>
    <comment ref="L20" authorId="0" shapeId="0">
      <text>
        <r>
          <rPr>
            <b/>
            <sz val="9"/>
            <color indexed="81"/>
            <rFont val="Tahoma"/>
            <charset val="1"/>
          </rPr>
          <t>tesoreria.pc13:</t>
        </r>
        <r>
          <rPr>
            <sz val="9"/>
            <color indexed="81"/>
            <rFont val="Tahoma"/>
            <charset val="1"/>
          </rPr>
          <t xml:space="preserve">
aquí solo lo elimine y puse cero
</t>
        </r>
      </text>
    </comment>
  </commentList>
</comments>
</file>

<file path=xl/sharedStrings.xml><?xml version="1.0" encoding="utf-8"?>
<sst xmlns="http://schemas.openxmlformats.org/spreadsheetml/2006/main" count="836" uniqueCount="254">
  <si>
    <t>COLEGIO DE BACHILLERES DEL ESTADO DE MICHOACÁN</t>
  </si>
  <si>
    <t xml:space="preserve"> </t>
  </si>
  <si>
    <t>EJERCICIO DEL PRESUPUESTO</t>
  </si>
  <si>
    <t>PRESUPUESTO DE EGRESOS APROBADO</t>
  </si>
  <si>
    <t>PRESUPUESTO VIGENTE</t>
  </si>
  <si>
    <t>COMPROMETIDO</t>
  </si>
  <si>
    <t>PRESUPUESTO DISPONIBLE PARA COMPROMETER</t>
  </si>
  <si>
    <t>DEVENGADO</t>
  </si>
  <si>
    <t>COMPROMETIDO NO DEVENGADO</t>
  </si>
  <si>
    <t>PRESUPUESTO SIN DEVENGAR</t>
  </si>
  <si>
    <t>EJERCIDO</t>
  </si>
  <si>
    <t>PAGADO</t>
  </si>
  <si>
    <t>NOMBRE</t>
  </si>
  <si>
    <t>5=(3-4)</t>
  </si>
  <si>
    <t>7=(4-6)</t>
  </si>
  <si>
    <t>8=(3-6)</t>
  </si>
  <si>
    <t>11=(6-10)</t>
  </si>
  <si>
    <t xml:space="preserve"> SERVICIOS PERSONALES </t>
  </si>
  <si>
    <t>MATERIALES Y SUMINISTROS</t>
  </si>
  <si>
    <t>TRANSF, ASIGNAC, SUBS. Y OTRAS AYUDAS</t>
  </si>
  <si>
    <t>BIENES MUEBLES, INMUEBLES E INTANGIBLES</t>
  </si>
  <si>
    <t>TOTAL</t>
  </si>
  <si>
    <t>ELABORÓ:</t>
  </si>
  <si>
    <t>REVISÓ:</t>
  </si>
  <si>
    <t>AUTORIZÓ</t>
  </si>
  <si>
    <t>C.P. MYRIAM IVONE YAÑEZ PEREZ</t>
  </si>
  <si>
    <t>JEFA DEL DPTO. DE TESORERÍA</t>
  </si>
  <si>
    <t>DELEGADO ADMINISTRATIVO</t>
  </si>
  <si>
    <t>DIRECTOR GENERAL</t>
  </si>
  <si>
    <t>Sueldos Base</t>
  </si>
  <si>
    <t>Honorarios</t>
  </si>
  <si>
    <t>Aguinaldo o Gratificación de Fin de Año</t>
  </si>
  <si>
    <t>Acreditación por Titulación en la Docencia</t>
  </si>
  <si>
    <t>Compensación por Adquisición de Material Didáctico</t>
  </si>
  <si>
    <t>Compensación por Actualización y Formación Académica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</si>
  <si>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</si>
  <si>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</si>
  <si>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</si>
  <si>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</si>
  <si>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Depósitos para el Ahorro Solidario</t>
  </si>
  <si>
    <t>Bono Sindical</t>
  </si>
  <si>
    <t>Pago de Liquidaciones</t>
  </si>
  <si>
    <t>Prestaciones Establecidas por Condiciones Generales de Trabajo o Contratos Colectivos de Trabajo</t>
  </si>
  <si>
    <t>Compensación Garantizada</t>
  </si>
  <si>
    <t>Estímulos por Productividad y Eficiencia</t>
  </si>
  <si>
    <t>Estímulos al Personal Operativo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</si>
  <si>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</si>
  <si>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</si>
  <si>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</si>
  <si>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</si>
  <si>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Materiales y Suministros para Planteles Educativos</t>
  </si>
  <si>
    <t>Productos Alimenticios para el Personal en las Instalaciones de las Dependencias y Entidades</t>
  </si>
  <si>
    <t>Material Eléctrico y Electrónico</t>
  </si>
  <si>
    <t>Materiales Complementarios</t>
  </si>
  <si>
    <t>Otros Materiales y Artículos de Construcción y Reparación</t>
  </si>
  <si>
    <t xml:space="preserve">Productos Químicos Básicos </t>
  </si>
  <si>
    <t>Plaguicidas, Abonos y Fertilizantes</t>
  </si>
  <si>
    <t>Medicinas y Productos Farmacéuticos</t>
  </si>
  <si>
    <t>Material Accesorios y Suministros Médicos</t>
  </si>
  <si>
    <t>Materiales, Accesorios y Suministros de Laboratorio</t>
  </si>
  <si>
    <t>Vestuario y Uniformes</t>
  </si>
  <si>
    <t>Prendas de Protección Personal</t>
  </si>
  <si>
    <t>Artículos Deportivos</t>
  </si>
  <si>
    <t>Herramientas Menores</t>
  </si>
  <si>
    <t>Refacciones y Accesorios para Equipo de Cómputo</t>
  </si>
  <si>
    <t>Servicio de Agua</t>
  </si>
  <si>
    <t>Servicio de Telecomunicaciones</t>
  </si>
  <si>
    <t>Servicio Postal</t>
  </si>
  <si>
    <t>Arrendamiento de Edificios y Locales</t>
  </si>
  <si>
    <t>Asesorias Asociadas a Convenios, Tratados y/o Acuerdos</t>
  </si>
  <si>
    <t>Servicios para Capacitación a Servidores Públicos</t>
  </si>
  <si>
    <t>Servicios de Vigilancia</t>
  </si>
  <si>
    <t>Servicios Bancarios y Financieros</t>
  </si>
  <si>
    <t>Seguro de Bienes Patrimoniales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</si>
  <si>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</si>
  <si>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</si>
  <si>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</si>
  <si>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</si>
  <si>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</si>
  <si>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Telecomunicaciones</t>
  </si>
  <si>
    <t>Servicios de Jardineria y Fumigación</t>
  </si>
  <si>
    <t>Impresiones y Publicaciones Oficiales</t>
  </si>
  <si>
    <t>Pasajes Terrestres Nacionales para Servidores Públicos de Mando en el Desempeño de Comisiones y Funciones</t>
  </si>
  <si>
    <t>Gastos de Orden Social</t>
  </si>
  <si>
    <t>Congresos y Convenciones</t>
  </si>
  <si>
    <t>Gastos Menores</t>
  </si>
  <si>
    <t>Otros Impuestos y Derechos</t>
  </si>
  <si>
    <t>Equipo de Administración</t>
  </si>
  <si>
    <t>Bienes Informáticos</t>
  </si>
  <si>
    <t>Bienes Artísticos y Culturales</t>
  </si>
  <si>
    <t>Prima Quiquenal por Años de Servicio Efectivos Prestados</t>
  </si>
  <si>
    <t>Servicio de Energía Eléctrica</t>
  </si>
  <si>
    <t>Servicio Telefónico Convencional</t>
  </si>
  <si>
    <t>Servicio de Lavanderia y Limpieza</t>
  </si>
  <si>
    <t>Refacciones y Accesorios Menores de Edif.</t>
  </si>
  <si>
    <t>Articulos Metalicos para la Construcción</t>
  </si>
  <si>
    <t>Patentes, Regalias y Otros</t>
  </si>
  <si>
    <t>Servicios de Informática</t>
  </si>
  <si>
    <t>TOTAL CAPITULO 1000</t>
  </si>
  <si>
    <t>TOTAL CAPITULO 2000</t>
  </si>
  <si>
    <t>TOTAL CAPITULO 3000</t>
  </si>
  <si>
    <t>TOTAL CAPITULO 4000</t>
  </si>
  <si>
    <t>TOTAL CAPITULO 5000</t>
  </si>
  <si>
    <t>SERVICIOS GENERALES</t>
  </si>
  <si>
    <t>Estímulos por Años de Servicio</t>
  </si>
  <si>
    <t>12% o 14% Adicional (10 Años)</t>
  </si>
  <si>
    <t>Ayuda Impresión de Tesis</t>
  </si>
  <si>
    <t>Comprobación por Adquisición de Material Didáctico</t>
  </si>
  <si>
    <t>Apoyo a la Superación</t>
  </si>
  <si>
    <t>Canasta Navideña</t>
  </si>
  <si>
    <t>Estímulo Fiscal</t>
  </si>
  <si>
    <t>Días Económicos</t>
  </si>
  <si>
    <t>Despensa</t>
  </si>
  <si>
    <t>Compensación Actual Percep. Administrativos</t>
  </si>
  <si>
    <t>Compensación por Periodos de Asueto</t>
  </si>
  <si>
    <t>Incentivo al Mejoramiento Educativo IME</t>
  </si>
  <si>
    <t>Vales de Despensa</t>
  </si>
  <si>
    <t>Pago de Marcha</t>
  </si>
  <si>
    <t>Ayuda para Guarderia</t>
  </si>
  <si>
    <t>Canastilla Maternal</t>
  </si>
  <si>
    <t>Puntualidad y Asistencia</t>
  </si>
  <si>
    <t>Coexa</t>
  </si>
  <si>
    <t>Complemento a la Anualidad</t>
  </si>
  <si>
    <t>Día del Docente</t>
  </si>
  <si>
    <t>Bono de Productividad</t>
  </si>
  <si>
    <t>Acred. Por Titulación en Docencia</t>
  </si>
  <si>
    <t>.05% Aport. Inst. Defunción</t>
  </si>
  <si>
    <t>.05% Aport. Por Jubilación</t>
  </si>
  <si>
    <t>Pagos por Jubilación</t>
  </si>
  <si>
    <t>Gastos Relacionados con Actividades Culturales</t>
  </si>
  <si>
    <t>Días de Descanso Obligatorio</t>
  </si>
  <si>
    <t>Licencia de Manejo</t>
  </si>
  <si>
    <t>Premios Estímulos Recompensas, Becas y Seguros</t>
  </si>
  <si>
    <t>Cuotas para el seguro de Vida</t>
  </si>
  <si>
    <t>Día del Empleado Administrativo</t>
  </si>
  <si>
    <t>Pagos por Defunción</t>
  </si>
  <si>
    <t>Estímulo al Personal Administrativo</t>
  </si>
  <si>
    <t>Productos Minerales no Metálicos</t>
  </si>
  <si>
    <t>Madera y Productos de Madera</t>
  </si>
  <si>
    <t>Aportaciones de Seguridad Social Contractuales</t>
  </si>
  <si>
    <t>Dotación de Anteojos</t>
  </si>
  <si>
    <t xml:space="preserve">Combustibles, Lubricantes y Aditivos para Vehículos  </t>
  </si>
  <si>
    <t>Viaticos Nacionales</t>
  </si>
  <si>
    <t>Equipo Médico y de Laboratorio</t>
  </si>
  <si>
    <t>Apoyo Escolar</t>
  </si>
  <si>
    <t>Apoyos Médicos Protesis</t>
  </si>
  <si>
    <t>Materiales e Utiles de Impresión y Reproducción</t>
  </si>
  <si>
    <t>Utensilios para el Servicio de Alimentación</t>
  </si>
  <si>
    <t>Cal Yeso y Productos de Yeso</t>
  </si>
  <si>
    <t xml:space="preserve">Mobiliario </t>
  </si>
  <si>
    <t>Equipos y Aparatos  Audiovisuales</t>
  </si>
  <si>
    <t>Mobiliario y Equipo Educacional</t>
  </si>
  <si>
    <t>Mobiliario y Equipo Recreativo</t>
  </si>
  <si>
    <t>Vehículos y Equipo Terrestre</t>
  </si>
  <si>
    <t>Sistemas de Aire Acondicionado y Calefacción</t>
  </si>
  <si>
    <t>Equipos, Aparatos de Comunicación y Telecomunicación</t>
  </si>
  <si>
    <t>Maquinaria, Equipo Electrónico y Electríco</t>
  </si>
  <si>
    <t>Herramientas y Maquinas Herramienta</t>
  </si>
  <si>
    <t>Camaras Fotográficas y de Vídeo</t>
  </si>
  <si>
    <t>Difusión de Mensajes Sobre Programas y Actividades Gubernamentales</t>
  </si>
  <si>
    <t>Gastos por Servicio de Traslado de Personas</t>
  </si>
  <si>
    <t>Prima Vacacional</t>
  </si>
  <si>
    <t>Cementos y Productos de Concretos</t>
  </si>
  <si>
    <t>Refacciones y Accesorios Menores de Maquinaria</t>
  </si>
  <si>
    <t>Arrendamiento de Fotocopiadora</t>
  </si>
  <si>
    <t>Otras Asesorias para la Operación de Personal</t>
  </si>
  <si>
    <t>Comisiones Bancarias</t>
  </si>
  <si>
    <t>Cuotas Seguro Colectivo Retiro</t>
  </si>
  <si>
    <t>Penas, Multas, Accesorios y Actualizaciones</t>
  </si>
  <si>
    <t>ING. GASPAR ROMERO CAMPOS</t>
  </si>
  <si>
    <t>Impresión y Elaboración de Material Informátivo</t>
  </si>
  <si>
    <t>"BAJO PROTESTA DE DECIR VERDAD DECLARAOS QUE LOS ESTADO FINANCIEROS Y SUS NOTAS, SON RAZONABLEMENTE CORRECTOS Y SON RESPONSABILIDAD DEL EMISOR"</t>
  </si>
  <si>
    <t>Exposiciones (Espectáculos Culturales)</t>
  </si>
  <si>
    <t>Servicios Relacionados con Certificación de Procesos</t>
  </si>
  <si>
    <t>Bono por Servicios Adicionales</t>
  </si>
  <si>
    <t>LIC. HÉCTOR ANTONIO JAIME HEREDIA</t>
  </si>
  <si>
    <t>Pago de Laudos</t>
  </si>
  <si>
    <t xml:space="preserve">Instalacion, Reparación y Matto. De Equipo Médico y Laboratorio </t>
  </si>
  <si>
    <t>SUB-EJERCICIO</t>
  </si>
  <si>
    <t>AMPLIACIONES/ (REDUCCIONES)</t>
  </si>
  <si>
    <t>Servicio de Capacitación a Servidores Publicos</t>
  </si>
  <si>
    <t>PRESUPUESTO FEDERAL</t>
  </si>
  <si>
    <t>PRESUPUESTO ESTATAL</t>
  </si>
  <si>
    <t>INGRESOS PROPIOS</t>
  </si>
  <si>
    <t>TOTALES</t>
  </si>
  <si>
    <t>REVISÓ</t>
  </si>
  <si>
    <t>FORMULÓ</t>
  </si>
  <si>
    <t xml:space="preserve">                                                                                                            </t>
  </si>
  <si>
    <t xml:space="preserve">                                                                                                             </t>
  </si>
  <si>
    <t xml:space="preserve">                                                                               </t>
  </si>
  <si>
    <t xml:space="preserve">                                                                                 </t>
  </si>
  <si>
    <t>C.P. ECTOR GUTIERREZ GARCÍA</t>
  </si>
  <si>
    <t>JEFE DEL DEPTO. DE CONTROL PRESUPUESTAL</t>
  </si>
  <si>
    <t>MTRO. HECTOR A. JAIME HEREDIA</t>
  </si>
  <si>
    <t>REMUNERCIONES AL PERSONAL DE CARÁCTER TRANSITORIO</t>
  </si>
  <si>
    <t>REMUNERACIONES ADICIONALES Y ESPECIALES</t>
  </si>
  <si>
    <t>SEGURIDAD SOCIAL</t>
  </si>
  <si>
    <t>OTRAS PRESTACIONES SOCIALES Y ECONOMICAS</t>
  </si>
  <si>
    <t>PAGO DE ESTIMULOS A SERVIDORES PUBLICOS</t>
  </si>
  <si>
    <t>ALIMENTOS Y UTENSILIOS</t>
  </si>
  <si>
    <t>MATERIALES Y ARTICULOS DE CONSTRUCCION Y DE REPARACION</t>
  </si>
  <si>
    <t>PRODUCTOS QUIMICOS, FARMACEUTICOS Y DE LABORATORIO</t>
  </si>
  <si>
    <t>MATERIALES DE ADMINISTRACION, EMISION DE DOCUMENTOS Y ARTICULOS OFICIALES</t>
  </si>
  <si>
    <t>COMBUSTIBLE, LUBRICANTES Y ADITIVOS</t>
  </si>
  <si>
    <t>VESTUARIOS, BLANCOS, PRENDAS DE PROTECCION Y ARTICULOS DEPORTIVOS</t>
  </si>
  <si>
    <t>HERRAMIENTAS, REFACCIONES Y ACCESORIOS MENORES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</si>
  <si>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</si>
  <si>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</si>
  <si>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</si>
  <si>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</si>
  <si>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</si>
  <si>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COMUNICACIÓN SOCIAL Y PUBLICIDAD</t>
  </si>
  <si>
    <t>SERVICIOS DE TRASLADO Y VIATICOS</t>
  </si>
  <si>
    <t>SERVICIOS OFICIALES</t>
  </si>
  <si>
    <t>OTROS SERVICIOS GENERALES</t>
  </si>
  <si>
    <t>AYUDAS SOCIALES</t>
  </si>
  <si>
    <t>MOBILIARIO Y EQUIPO DE ADMINISTRACION</t>
  </si>
  <si>
    <t>MOBILIARIO Y EQUIPO EDUCACIONAL  Y RECREATIVO</t>
  </si>
  <si>
    <t>EQUIPO E INSTRUMENTAL MEDICO Y DE LABORATORIO</t>
  </si>
  <si>
    <t>VEHICULOS Y EQUIPO DE TRANSPORTE</t>
  </si>
  <si>
    <t>MAQUINARIA, OTROS EQUIPOS Y HERRAMIENTAS</t>
  </si>
  <si>
    <t>Artículos Metálicos para la Construcción</t>
  </si>
  <si>
    <t>Otros Gastos por Responsabilidades</t>
  </si>
  <si>
    <t>Vidrio y Productos de Vidrio</t>
  </si>
  <si>
    <t>REMUNERACIONES AL PERSONAL DE CARACTER PERMANENTE</t>
  </si>
  <si>
    <t>PRESUPUESTO DE EGRESOS PARA EL EJERCICIO FISCAL 2020</t>
  </si>
  <si>
    <t>Refacciones y Acces. Menores para Equipo de Transporte</t>
  </si>
  <si>
    <t>Servicios de Diseño, Arquitectura, Ingenieria y Actividades Relacionadas</t>
  </si>
  <si>
    <t>Otras Asesorias para la Operación de Programas</t>
  </si>
  <si>
    <t>Servicios Estadísticos y Geográficos</t>
  </si>
  <si>
    <t>Fibras Sintéticas, Hules Plásticos y Derivados (Incluidas PVC)</t>
  </si>
  <si>
    <t>TOTAL CAPITULO 6000</t>
  </si>
  <si>
    <t>Infraestructura Educativa y de Investigación</t>
  </si>
  <si>
    <t>INVERSION PUBLICA</t>
  </si>
  <si>
    <t>OBRA PUBLICA EN BIENES DE DOMINIO PUBLICO</t>
  </si>
  <si>
    <t>Apoyo a la Superación Académica</t>
  </si>
  <si>
    <t>Mantenimiento y Conservación de Maquinaria y Equipo</t>
  </si>
  <si>
    <t>Mantenimiento y Conservacion de Maquinaria y Equipo</t>
  </si>
  <si>
    <t>Servicios Relacionados con Monitoreo de Información en  Medios Masivos.</t>
  </si>
  <si>
    <t>Ayudas Sociales para Actividades Cultura</t>
  </si>
  <si>
    <t>Gastos por Servicio de Traslado</t>
  </si>
  <si>
    <t>Otros Productos Quimicos</t>
  </si>
  <si>
    <t>Otros Productos Químicos</t>
  </si>
  <si>
    <t>ESTADO ANALITICO DEL EJERCICIO DEL PRESUPUESTO DE EGRESOS CLASIFICACIÓN POR OBJETO DEL GASTO (CAPITULO Y CONCEPTO) AL 31 DE DICIEMBRE DEL 2020</t>
  </si>
  <si>
    <t>ESTADO ANALITICO DEL EJERCICIO DEL PRESUPUESTO DE EGRESOS CLASIFICACIÓN POR OBJETO DEL GASTO ESTATAL (CAPITULO Y CONCEPTO) AL 31 DE DICIEMBRE DEL 2020</t>
  </si>
  <si>
    <t>ESTADO ANALITICO DEL EJERCICIO DEL PRESUPUESTO DE EGRESOS CLASIFICACIÓN POR OBJETO DEL GASTO INGRESOS POR VTA. DE BIENES PREST. DE SERV. Y OTROS ING. (CAPITULO Y CONCEPTO) AL 31 DE DICIEMBRE DEL 2020</t>
  </si>
  <si>
    <t>Estímulo Docente</t>
  </si>
  <si>
    <t>Premios, Estimulos y Recompensas</t>
  </si>
  <si>
    <t>Ayudas Sociales Para Actualizacion y Cultura</t>
  </si>
  <si>
    <t>Otros Bienes Inmuebles</t>
  </si>
  <si>
    <t>Servicios Diseños Estadísticos y Arquitecturas</t>
  </si>
  <si>
    <t>Premios, Estímulos y Recompensas</t>
  </si>
  <si>
    <t>Impuestos Sobre Nóminas</t>
  </si>
  <si>
    <t>Impuestos Sobre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</si>
</sst>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43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3" fontId="2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vertical="center"/>
    </xf>
    <xf numFmtId="43" fontId="2" fillId="0" borderId="8" xfId="0" applyNumberFormat="1" applyFont="1" applyFill="1" applyBorder="1" applyAlignment="1">
      <alignment vertical="center"/>
    </xf>
    <xf numFmtId="0" fontId="0" fillId="0" borderId="0" xfId="0" applyFill="1"/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3" fontId="0" fillId="0" borderId="2" xfId="0" applyNumberFormat="1" applyFont="1" applyBorder="1" applyAlignment="1">
      <alignment vertical="center"/>
    </xf>
    <xf numFmtId="43" fontId="0" fillId="0" borderId="2" xfId="0" applyNumberFormat="1" applyFont="1" applyFill="1" applyBorder="1" applyAlignment="1">
      <alignment vertical="center"/>
    </xf>
    <xf numFmtId="43" fontId="0" fillId="0" borderId="9" xfId="0" applyNumberFormat="1" applyFont="1" applyBorder="1" applyAlignment="1">
      <alignment vertical="center"/>
    </xf>
    <xf numFmtId="43" fontId="0" fillId="0" borderId="9" xfId="0" applyNumberFormat="1" applyFont="1" applyFill="1" applyBorder="1" applyAlignment="1">
      <alignment vertical="center"/>
    </xf>
    <xf numFmtId="43" fontId="0" fillId="0" borderId="8" xfId="0" applyNumberFormat="1" applyFont="1" applyBorder="1" applyAlignment="1">
      <alignment vertical="center"/>
    </xf>
    <xf numFmtId="43" fontId="0" fillId="0" borderId="8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3" fontId="0" fillId="0" borderId="6" xfId="0" applyNumberFormat="1" applyFont="1" applyFill="1" applyBorder="1" applyAlignment="1">
      <alignment vertical="center"/>
    </xf>
    <xf numFmtId="43" fontId="0" fillId="0" borderId="6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43" fontId="0" fillId="0" borderId="11" xfId="0" applyNumberFormat="1" applyFont="1" applyBorder="1" applyAlignment="1">
      <alignment vertical="center"/>
    </xf>
    <xf numFmtId="43" fontId="0" fillId="0" borderId="1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Fill="1" applyBorder="1"/>
    <xf numFmtId="0" fontId="0" fillId="0" borderId="0" xfId="0" applyBorder="1"/>
    <xf numFmtId="0" fontId="9" fillId="0" borderId="0" xfId="0" applyFont="1"/>
    <xf numFmtId="43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3" fontId="8" fillId="0" borderId="0" xfId="0" applyNumberFormat="1" applyFont="1" applyFill="1" applyAlignment="1">
      <alignment vertical="center"/>
    </xf>
    <xf numFmtId="43" fontId="2" fillId="0" borderId="0" xfId="0" applyNumberFormat="1" applyFont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/>
    <xf numFmtId="43" fontId="10" fillId="0" borderId="2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3" fontId="2" fillId="0" borderId="12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3" fontId="0" fillId="3" borderId="2" xfId="0" applyNumberFormat="1" applyFont="1" applyFill="1" applyBorder="1" applyAlignment="1">
      <alignment vertical="center"/>
    </xf>
    <xf numFmtId="0" fontId="2" fillId="0" borderId="0" xfId="0" applyFont="1"/>
    <xf numFmtId="43" fontId="0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0" fontId="0" fillId="0" borderId="0" xfId="0" applyAlignment="1">
      <alignment horizontal="center"/>
    </xf>
    <xf numFmtId="43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1AF5FA"/>
      <color rgb="FFCCFFCC"/>
      <color rgb="FF045C28"/>
      <color rgb="FF0000FF"/>
      <color rgb="FFA365FF"/>
      <color rgb="FF02AEAA"/>
      <color rgb="FFDAEA0C"/>
      <color rgb="FF0303C1"/>
      <color rgb="FFB21288"/>
      <color rgb="FF8893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720853</xdr:colOff>
      <xdr:row>224</xdr:row>
      <xdr:rowOff>0</xdr:rowOff>
    </xdr:from>
    <xdr:to>
      <xdr:col>2</xdr:col>
      <xdr:colOff>444500</xdr:colOff>
      <xdr:row>224</xdr:row>
      <xdr:rowOff>0</xdr:rowOff>
    </xdr:to>
    <xdr:cxnSp macro="">
      <xdr:nvCxnSpPr>
        <xdr:cNvPr id="2" name="1 Conector recto"/>
        <xdr:cNvCxnSpPr/>
      </xdr:nvCxnSpPr>
      <xdr:spPr>
        <a:xfrm>
          <a:off x="1635253" y="49606200"/>
          <a:ext cx="26954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687895</xdr:colOff>
      <xdr:row>224</xdr:row>
      <xdr:rowOff>0</xdr:rowOff>
    </xdr:from>
    <xdr:to>
      <xdr:col>5</xdr:col>
      <xdr:colOff>936636</xdr:colOff>
      <xdr:row>224</xdr:row>
      <xdr:rowOff>0</xdr:rowOff>
    </xdr:to>
    <xdr:cxnSp macro="">
      <xdr:nvCxnSpPr>
        <xdr:cNvPr id="3" name="2 Conector recto"/>
        <xdr:cNvCxnSpPr/>
      </xdr:nvCxnSpPr>
      <xdr:spPr>
        <a:xfrm>
          <a:off x="6631495" y="49606200"/>
          <a:ext cx="29347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223</xdr:row>
      <xdr:rowOff>190500</xdr:rowOff>
    </xdr:from>
    <xdr:to>
      <xdr:col>11</xdr:col>
      <xdr:colOff>1317625</xdr:colOff>
      <xdr:row>223</xdr:row>
      <xdr:rowOff>190501</xdr:rowOff>
    </xdr:to>
    <xdr:cxnSp macro="">
      <xdr:nvCxnSpPr>
        <xdr:cNvPr id="4" name="3 Conector recto"/>
        <xdr:cNvCxnSpPr/>
      </xdr:nvCxnSpPr>
      <xdr:spPr>
        <a:xfrm flipV="1">
          <a:off x="11645900" y="49596675"/>
          <a:ext cx="26733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76200</xdr:colOff>
      <xdr:row>0</xdr:row>
      <xdr:rowOff>47625</xdr:rowOff>
    </xdr:from>
    <xdr:to>
      <xdr:col>2</xdr:col>
      <xdr:colOff>381000</xdr:colOff>
      <xdr:row>4</xdr:row>
      <xdr:rowOff>37037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4188883" cy="71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720853</xdr:colOff>
      <xdr:row>223</xdr:row>
      <xdr:rowOff>0</xdr:rowOff>
    </xdr:from>
    <xdr:to>
      <xdr:col>2</xdr:col>
      <xdr:colOff>444500</xdr:colOff>
      <xdr:row>223</xdr:row>
      <xdr:rowOff>0</xdr:rowOff>
    </xdr:to>
    <xdr:cxnSp macro="">
      <xdr:nvCxnSpPr>
        <xdr:cNvPr id="2" name="1 Conector recto"/>
        <xdr:cNvCxnSpPr/>
      </xdr:nvCxnSpPr>
      <xdr:spPr>
        <a:xfrm>
          <a:off x="1635253" y="60331350"/>
          <a:ext cx="26954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687895</xdr:colOff>
      <xdr:row>223</xdr:row>
      <xdr:rowOff>0</xdr:rowOff>
    </xdr:from>
    <xdr:to>
      <xdr:col>5</xdr:col>
      <xdr:colOff>936636</xdr:colOff>
      <xdr:row>223</xdr:row>
      <xdr:rowOff>0</xdr:rowOff>
    </xdr:to>
    <xdr:cxnSp macro="">
      <xdr:nvCxnSpPr>
        <xdr:cNvPr id="3" name="2 Conector recto"/>
        <xdr:cNvCxnSpPr/>
      </xdr:nvCxnSpPr>
      <xdr:spPr>
        <a:xfrm>
          <a:off x="6631495" y="60331350"/>
          <a:ext cx="29347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222</xdr:row>
      <xdr:rowOff>190500</xdr:rowOff>
    </xdr:from>
    <xdr:to>
      <xdr:col>11</xdr:col>
      <xdr:colOff>1317625</xdr:colOff>
      <xdr:row>222</xdr:row>
      <xdr:rowOff>190501</xdr:rowOff>
    </xdr:to>
    <xdr:cxnSp macro="">
      <xdr:nvCxnSpPr>
        <xdr:cNvPr id="4" name="3 Conector recto"/>
        <xdr:cNvCxnSpPr/>
      </xdr:nvCxnSpPr>
      <xdr:spPr>
        <a:xfrm flipV="1">
          <a:off x="15103475" y="60321825"/>
          <a:ext cx="26733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76200</xdr:colOff>
      <xdr:row>1</xdr:row>
      <xdr:rowOff>47625</xdr:rowOff>
    </xdr:from>
    <xdr:to>
      <xdr:col>2</xdr:col>
      <xdr:colOff>381000</xdr:colOff>
      <xdr:row>5</xdr:row>
      <xdr:rowOff>27512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4191000" cy="713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720853</xdr:colOff>
      <xdr:row>218</xdr:row>
      <xdr:rowOff>0</xdr:rowOff>
    </xdr:from>
    <xdr:to>
      <xdr:col>2</xdr:col>
      <xdr:colOff>444500</xdr:colOff>
      <xdr:row>218</xdr:row>
      <xdr:rowOff>0</xdr:rowOff>
    </xdr:to>
    <xdr:cxnSp macro="">
      <xdr:nvCxnSpPr>
        <xdr:cNvPr id="2" name="1 Conector recto"/>
        <xdr:cNvCxnSpPr/>
      </xdr:nvCxnSpPr>
      <xdr:spPr>
        <a:xfrm>
          <a:off x="1635253" y="60331350"/>
          <a:ext cx="26954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687895</xdr:colOff>
      <xdr:row>218</xdr:row>
      <xdr:rowOff>0</xdr:rowOff>
    </xdr:from>
    <xdr:to>
      <xdr:col>5</xdr:col>
      <xdr:colOff>936636</xdr:colOff>
      <xdr:row>218</xdr:row>
      <xdr:rowOff>0</xdr:rowOff>
    </xdr:to>
    <xdr:cxnSp macro="">
      <xdr:nvCxnSpPr>
        <xdr:cNvPr id="3" name="2 Conector recto"/>
        <xdr:cNvCxnSpPr/>
      </xdr:nvCxnSpPr>
      <xdr:spPr>
        <a:xfrm>
          <a:off x="6631495" y="60331350"/>
          <a:ext cx="29347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217</xdr:row>
      <xdr:rowOff>190500</xdr:rowOff>
    </xdr:from>
    <xdr:to>
      <xdr:col>11</xdr:col>
      <xdr:colOff>1317625</xdr:colOff>
      <xdr:row>217</xdr:row>
      <xdr:rowOff>190501</xdr:rowOff>
    </xdr:to>
    <xdr:cxnSp macro="">
      <xdr:nvCxnSpPr>
        <xdr:cNvPr id="4" name="3 Conector recto"/>
        <xdr:cNvCxnSpPr/>
      </xdr:nvCxnSpPr>
      <xdr:spPr>
        <a:xfrm flipV="1">
          <a:off x="15103475" y="60321825"/>
          <a:ext cx="26733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76200</xdr:colOff>
      <xdr:row>0</xdr:row>
      <xdr:rowOff>47626</xdr:rowOff>
    </xdr:from>
    <xdr:to>
      <xdr:col>2</xdr:col>
      <xdr:colOff>371475</xdr:colOff>
      <xdr:row>3</xdr:row>
      <xdr:rowOff>180976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6"/>
          <a:ext cx="4181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47626</xdr:rowOff>
    </xdr:from>
    <xdr:to>
      <xdr:col>1</xdr:col>
      <xdr:colOff>1399496</xdr:colOff>
      <xdr:row>2</xdr:row>
      <xdr:rowOff>38101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47626"/>
          <a:ext cx="223769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26"/>
  <sheetViews>
    <sheetView tabSelected="1" showRuler="0" zoomScaleNormal="100" zoomScalePageLayoutView="83" workbookViewId="0">
      <pane ySplit="7" topLeftCell="A135" activePane="bottomLeft" state="frozen"/>
      <selection pane="bottomLeft" activeCell="I1" sqref="I1:J1048576"/>
    </sheetView>
  </sheetViews>
  <sheetFormatPr baseColWidth="10" defaultRowHeight="15" x14ac:dyDescent="0.25"/>
  <cols>
    <col min="1" max="1" width="13.7109375" style="59" customWidth="1"/>
    <col min="2" max="2" width="44.5703125" customWidth="1"/>
    <col min="3" max="3" width="30.85546875" customWidth="1"/>
    <col min="4" max="4" width="17" customWidth="1"/>
    <col min="5" max="5" width="23.28515625" style="32" customWidth="1"/>
    <col min="6" max="6" width="24.5703125" customWidth="1"/>
    <col min="7" max="7" width="17.85546875" style="32" hidden="1" customWidth="1"/>
    <col min="8" max="8" width="20.5703125" customWidth="1"/>
    <col min="9" max="9" width="15.85546875" hidden="1" customWidth="1"/>
    <col min="10" max="10" width="18" hidden="1" customWidth="1"/>
    <col min="11" max="11" width="20.5703125" customWidth="1"/>
    <col min="12" max="12" width="20.5703125" bestFit="1" customWidth="1"/>
    <col min="13" max="13" width="22.28515625" bestFit="1" customWidth="1"/>
  </cols>
  <sheetData>
    <row r="1" spans="1:13" ht="14.4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3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9.75" customHeight="1" x14ac:dyDescent="0.3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100000000000001" customHeight="1" x14ac:dyDescent="0.25">
      <c r="A4" s="104" t="s">
        <v>243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43.5" x14ac:dyDescent="0.35">
      <c r="A5" s="27"/>
      <c r="B5" s="28" t="s">
        <v>2</v>
      </c>
      <c r="C5" s="29" t="s">
        <v>3</v>
      </c>
      <c r="D5" s="29" t="s">
        <v>179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29" t="s">
        <v>9</v>
      </c>
      <c r="K5" s="29" t="s">
        <v>10</v>
      </c>
      <c r="L5" s="29" t="s">
        <v>11</v>
      </c>
      <c r="M5" s="29" t="s">
        <v>178</v>
      </c>
    </row>
    <row r="6" spans="1:13" s="22" customFormat="1" ht="20.100000000000001" customHeight="1" x14ac:dyDescent="0.35">
      <c r="A6" s="35" t="s">
        <v>1</v>
      </c>
      <c r="B6" s="28" t="s">
        <v>12</v>
      </c>
      <c r="C6" s="28">
        <v>1</v>
      </c>
      <c r="D6" s="28">
        <v>2</v>
      </c>
      <c r="E6" s="28">
        <v>3</v>
      </c>
      <c r="F6" s="28">
        <v>4</v>
      </c>
      <c r="G6" s="28" t="s">
        <v>13</v>
      </c>
      <c r="H6" s="28">
        <v>6</v>
      </c>
      <c r="I6" s="28" t="s">
        <v>14</v>
      </c>
      <c r="J6" s="28" t="s">
        <v>15</v>
      </c>
      <c r="K6" s="28">
        <v>9</v>
      </c>
      <c r="L6" s="28">
        <v>10</v>
      </c>
      <c r="M6" s="28" t="s">
        <v>16</v>
      </c>
    </row>
    <row r="7" spans="1:13" ht="18" customHeight="1" x14ac:dyDescent="0.35">
      <c r="A7" s="36"/>
      <c r="B7" s="37"/>
      <c r="C7" s="38"/>
      <c r="D7" s="38"/>
      <c r="E7" s="39"/>
      <c r="F7" s="38"/>
      <c r="G7" s="40"/>
      <c r="H7" s="41"/>
      <c r="I7" s="38"/>
      <c r="J7" s="38"/>
      <c r="K7" s="38"/>
      <c r="L7" s="38"/>
      <c r="M7" s="42"/>
    </row>
    <row r="8" spans="1:13" s="32" customFormat="1" ht="21.95" customHeight="1" x14ac:dyDescent="0.35">
      <c r="A8" s="65">
        <v>1000</v>
      </c>
      <c r="B8" s="70" t="s">
        <v>17</v>
      </c>
      <c r="C8" s="44" t="s">
        <v>1</v>
      </c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s="72" customFormat="1" ht="29.1" x14ac:dyDescent="0.35">
      <c r="A9" s="65">
        <v>1100</v>
      </c>
      <c r="B9" s="71" t="s">
        <v>224</v>
      </c>
      <c r="C9" s="64">
        <f>SUM(C10:C10)</f>
        <v>537220082</v>
      </c>
      <c r="D9" s="64">
        <f t="shared" ref="D9:M11" si="0">SUM(D10:D10)</f>
        <v>31305301.409999996</v>
      </c>
      <c r="E9" s="64">
        <f t="shared" si="0"/>
        <v>568525383.40999997</v>
      </c>
      <c r="F9" s="64">
        <f t="shared" si="0"/>
        <v>568525383.40999997</v>
      </c>
      <c r="G9" s="64">
        <f t="shared" si="0"/>
        <v>0</v>
      </c>
      <c r="H9" s="64">
        <f t="shared" si="0"/>
        <v>568525383.40999997</v>
      </c>
      <c r="I9" s="64">
        <f t="shared" si="0"/>
        <v>0</v>
      </c>
      <c r="J9" s="64">
        <f t="shared" si="0"/>
        <v>0</v>
      </c>
      <c r="K9" s="64">
        <f t="shared" si="0"/>
        <v>568525383.40999997</v>
      </c>
      <c r="L9" s="64">
        <f t="shared" si="0"/>
        <v>545255646.87</v>
      </c>
      <c r="M9" s="64">
        <f t="shared" si="0"/>
        <v>23269736.539999999</v>
      </c>
    </row>
    <row r="10" spans="1:13" s="32" customFormat="1" ht="20.100000000000001" customHeight="1" x14ac:dyDescent="0.35">
      <c r="A10" s="17">
        <v>11301</v>
      </c>
      <c r="B10" s="8" t="s">
        <v>29</v>
      </c>
      <c r="C10" s="44">
        <v>537220082</v>
      </c>
      <c r="D10" s="44">
        <f>4762494.08+4459297.84+11261808.5+7986580.8+12114808.5-9279688.31</f>
        <v>31305301.409999996</v>
      </c>
      <c r="E10" s="44">
        <f>C10+D10</f>
        <v>568525383.40999997</v>
      </c>
      <c r="F10" s="73">
        <v>568525383.40999997</v>
      </c>
      <c r="G10" s="44">
        <f>E10-F10</f>
        <v>0</v>
      </c>
      <c r="H10" s="44">
        <f>F10</f>
        <v>568525383.40999997</v>
      </c>
      <c r="I10" s="44">
        <f>F10-H10</f>
        <v>0</v>
      </c>
      <c r="J10" s="44">
        <f>E10-H10</f>
        <v>0</v>
      </c>
      <c r="K10" s="44">
        <f>F10</f>
        <v>568525383.40999997</v>
      </c>
      <c r="L10" s="44">
        <f>281725943.33+263529703.54</f>
        <v>545255646.87</v>
      </c>
      <c r="M10" s="44">
        <f>16131134.5+7138602.04</f>
        <v>23269736.539999999</v>
      </c>
    </row>
    <row r="11" spans="1:13" s="72" customFormat="1" ht="27" customHeight="1" x14ac:dyDescent="0.25">
      <c r="A11" s="65">
        <v>1200</v>
      </c>
      <c r="B11" s="71" t="s">
        <v>194</v>
      </c>
      <c r="C11" s="64">
        <f>SUM(C12:C12)</f>
        <v>0</v>
      </c>
      <c r="D11" s="64">
        <f t="shared" si="0"/>
        <v>0</v>
      </c>
      <c r="E11" s="64">
        <f>SUM(E12:E12)</f>
        <v>0</v>
      </c>
      <c r="F11" s="44">
        <f t="shared" si="0"/>
        <v>0</v>
      </c>
      <c r="G11" s="64">
        <f t="shared" si="0"/>
        <v>0</v>
      </c>
      <c r="H11" s="64">
        <f t="shared" si="0"/>
        <v>0</v>
      </c>
      <c r="I11" s="64">
        <f t="shared" si="0"/>
        <v>0</v>
      </c>
      <c r="J11" s="64">
        <f t="shared" si="0"/>
        <v>0</v>
      </c>
      <c r="K11" s="64">
        <f t="shared" si="0"/>
        <v>0</v>
      </c>
      <c r="L11" s="64">
        <f t="shared" si="0"/>
        <v>0</v>
      </c>
      <c r="M11" s="64">
        <f t="shared" si="0"/>
        <v>0</v>
      </c>
    </row>
    <row r="12" spans="1:13" s="32" customFormat="1" ht="20.100000000000001" customHeight="1" x14ac:dyDescent="0.35">
      <c r="A12" s="17">
        <v>12101</v>
      </c>
      <c r="B12" s="8" t="s">
        <v>30</v>
      </c>
      <c r="C12" s="44">
        <v>0</v>
      </c>
      <c r="D12" s="44">
        <v>0</v>
      </c>
      <c r="E12" s="44">
        <f t="shared" ref="E12" si="1">C12+D12</f>
        <v>0</v>
      </c>
      <c r="F12" s="44">
        <v>0</v>
      </c>
      <c r="G12" s="44">
        <f t="shared" ref="G12:G72" si="2">E12-F12</f>
        <v>0</v>
      </c>
      <c r="H12" s="44">
        <f>F12</f>
        <v>0</v>
      </c>
      <c r="I12" s="44">
        <f>F12-H12</f>
        <v>0</v>
      </c>
      <c r="J12" s="44">
        <f t="shared" ref="J12:J72" si="3">E12-H12</f>
        <v>0</v>
      </c>
      <c r="K12" s="44">
        <f>F12</f>
        <v>0</v>
      </c>
      <c r="L12" s="44">
        <f t="shared" ref="L12:L73" si="4">K12</f>
        <v>0</v>
      </c>
      <c r="M12" s="44">
        <f>H12-L12</f>
        <v>0</v>
      </c>
    </row>
    <row r="13" spans="1:13" s="72" customFormat="1" ht="21.95" customHeight="1" x14ac:dyDescent="0.35">
      <c r="A13" s="65">
        <v>1300</v>
      </c>
      <c r="B13" s="71" t="s">
        <v>195</v>
      </c>
      <c r="C13" s="64">
        <f t="shared" ref="C13:M13" si="5">SUM(C14:C24)</f>
        <v>320769797</v>
      </c>
      <c r="D13" s="64">
        <f t="shared" si="5"/>
        <v>84122634.390000001</v>
      </c>
      <c r="E13" s="64">
        <f t="shared" si="5"/>
        <v>404892431.39000005</v>
      </c>
      <c r="F13" s="64">
        <f t="shared" si="5"/>
        <v>434516732.80000001</v>
      </c>
      <c r="G13" s="64">
        <f t="shared" si="5"/>
        <v>-29624301.41</v>
      </c>
      <c r="H13" s="64">
        <f t="shared" si="5"/>
        <v>434516732.80000001</v>
      </c>
      <c r="I13" s="64">
        <f t="shared" si="5"/>
        <v>0</v>
      </c>
      <c r="J13" s="64">
        <f t="shared" si="5"/>
        <v>-29624301.41</v>
      </c>
      <c r="K13" s="64">
        <f t="shared" si="5"/>
        <v>434516732.80000001</v>
      </c>
      <c r="L13" s="64">
        <f t="shared" si="5"/>
        <v>354832589.73000002</v>
      </c>
      <c r="M13" s="64">
        <f t="shared" si="5"/>
        <v>79684143.069999993</v>
      </c>
    </row>
    <row r="14" spans="1:13" s="32" customFormat="1" ht="30" x14ac:dyDescent="0.25">
      <c r="A14" s="17">
        <v>13101</v>
      </c>
      <c r="B14" s="8" t="s">
        <v>90</v>
      </c>
      <c r="C14" s="44">
        <v>175443316</v>
      </c>
      <c r="D14" s="44">
        <f>6687233.26+3920431.74+3253467.5+3416871.58+3253467.5-150272.62</f>
        <v>20381198.959999997</v>
      </c>
      <c r="E14" s="44">
        <f>C14+D14</f>
        <v>195824514.96000001</v>
      </c>
      <c r="F14" s="44">
        <v>195824514.96000001</v>
      </c>
      <c r="G14" s="44">
        <f t="shared" si="2"/>
        <v>0</v>
      </c>
      <c r="H14" s="44">
        <f t="shared" ref="H14:H73" si="6">F14</f>
        <v>195824514.96000001</v>
      </c>
      <c r="I14" s="44">
        <f t="shared" ref="I14:I73" si="7">F14-H14</f>
        <v>0</v>
      </c>
      <c r="J14" s="44">
        <f t="shared" si="3"/>
        <v>0</v>
      </c>
      <c r="K14" s="44">
        <f t="shared" ref="K14:K73" si="8">F14</f>
        <v>195824514.96000001</v>
      </c>
      <c r="L14" s="44">
        <f>82609903.26+105547210.93</f>
        <v>188157114.19</v>
      </c>
      <c r="M14" s="44">
        <f>3266568.5+4400832.27</f>
        <v>7667400.7699999996</v>
      </c>
    </row>
    <row r="15" spans="1:13" s="32" customFormat="1" ht="20.100000000000001" customHeight="1" x14ac:dyDescent="0.25">
      <c r="A15" s="17">
        <v>13103</v>
      </c>
      <c r="B15" s="8" t="s">
        <v>104</v>
      </c>
      <c r="C15" s="26">
        <f>10755045+10853077</f>
        <v>21608122</v>
      </c>
      <c r="D15" s="26">
        <v>0</v>
      </c>
      <c r="E15" s="44">
        <f t="shared" ref="E15:E24" si="9">C15+D15</f>
        <v>21608122</v>
      </c>
      <c r="F15" s="44">
        <v>49314772.920000002</v>
      </c>
      <c r="G15" s="44">
        <f t="shared" si="2"/>
        <v>-27706650.920000002</v>
      </c>
      <c r="H15" s="44">
        <f t="shared" si="6"/>
        <v>49314772.920000002</v>
      </c>
      <c r="I15" s="44">
        <f t="shared" si="7"/>
        <v>0</v>
      </c>
      <c r="J15" s="44">
        <f t="shared" si="3"/>
        <v>-27706650.920000002</v>
      </c>
      <c r="K15" s="44">
        <f t="shared" si="8"/>
        <v>49314772.920000002</v>
      </c>
      <c r="L15" s="44">
        <f>16962694.46+10755045</f>
        <v>27717739.460000001</v>
      </c>
      <c r="M15" s="44">
        <f>21597033.46</f>
        <v>21597033.460000001</v>
      </c>
    </row>
    <row r="16" spans="1:13" s="32" customFormat="1" ht="20.100000000000001" customHeight="1" x14ac:dyDescent="0.25">
      <c r="A16" s="17">
        <v>13105</v>
      </c>
      <c r="B16" s="8" t="s">
        <v>105</v>
      </c>
      <c r="C16" s="44">
        <v>0</v>
      </c>
      <c r="D16" s="44">
        <f>4439482.8+10176100.38+709624.08</f>
        <v>15325207.26</v>
      </c>
      <c r="E16" s="44">
        <f t="shared" si="9"/>
        <v>15325207.26</v>
      </c>
      <c r="F16" s="44">
        <v>15325207.26</v>
      </c>
      <c r="G16" s="44">
        <f t="shared" si="2"/>
        <v>0</v>
      </c>
      <c r="H16" s="44">
        <f t="shared" si="6"/>
        <v>15325207.26</v>
      </c>
      <c r="I16" s="44">
        <f t="shared" si="7"/>
        <v>0</v>
      </c>
      <c r="J16" s="44">
        <f t="shared" si="3"/>
        <v>0</v>
      </c>
      <c r="K16" s="44">
        <f t="shared" si="8"/>
        <v>15325207.26</v>
      </c>
      <c r="L16" s="44">
        <f>14590403.83</f>
        <v>14590403.83</v>
      </c>
      <c r="M16" s="44">
        <v>734803.43</v>
      </c>
    </row>
    <row r="17" spans="1:13" s="32" customFormat="1" ht="20.100000000000001" customHeight="1" x14ac:dyDescent="0.35">
      <c r="A17" s="17">
        <v>13201</v>
      </c>
      <c r="B17" s="8" t="s">
        <v>161</v>
      </c>
      <c r="C17" s="44">
        <v>49273663</v>
      </c>
      <c r="D17" s="44">
        <f>969238.8+4321671.96+1024552+4459297.84+1024552+9886200.88</f>
        <v>21685513.48</v>
      </c>
      <c r="E17" s="44">
        <f t="shared" si="9"/>
        <v>70959176.480000004</v>
      </c>
      <c r="F17" s="44">
        <v>70959176.480000004</v>
      </c>
      <c r="G17" s="44">
        <f t="shared" si="2"/>
        <v>0</v>
      </c>
      <c r="H17" s="44">
        <f t="shared" si="6"/>
        <v>70959176.480000004</v>
      </c>
      <c r="I17" s="44">
        <f t="shared" si="7"/>
        <v>0</v>
      </c>
      <c r="J17" s="44">
        <f t="shared" si="3"/>
        <v>0</v>
      </c>
      <c r="K17" s="44">
        <f t="shared" si="8"/>
        <v>70959176.480000004</v>
      </c>
      <c r="L17" s="44">
        <f>24272268+43691201.81</f>
        <v>67963469.810000002</v>
      </c>
      <c r="M17" s="44">
        <f>1037753+1957953.67</f>
        <v>2995706.67</v>
      </c>
    </row>
    <row r="18" spans="1:13" s="32" customFormat="1" ht="20.100000000000001" customHeight="1" x14ac:dyDescent="0.25">
      <c r="A18" s="17">
        <v>13202</v>
      </c>
      <c r="B18" s="8" t="s">
        <v>31</v>
      </c>
      <c r="C18" s="44">
        <v>63456878</v>
      </c>
      <c r="D18" s="44">
        <f>10932727.47+1707587+1707587+10179458.19</f>
        <v>24527359.66</v>
      </c>
      <c r="E18" s="44">
        <f t="shared" si="9"/>
        <v>87984237.659999996</v>
      </c>
      <c r="F18" s="44">
        <v>87984237.659999996</v>
      </c>
      <c r="G18" s="44">
        <f t="shared" si="2"/>
        <v>0</v>
      </c>
      <c r="H18" s="44">
        <f t="shared" si="6"/>
        <v>87984237.659999996</v>
      </c>
      <c r="I18" s="44">
        <f t="shared" si="7"/>
        <v>0</v>
      </c>
      <c r="J18" s="44">
        <f t="shared" si="3"/>
        <v>0</v>
      </c>
      <c r="K18" s="44">
        <f t="shared" si="8"/>
        <v>87984237.659999996</v>
      </c>
      <c r="L18" s="44">
        <f>22447548.86+21311541.61</f>
        <v>43759090.469999999</v>
      </c>
      <c r="M18" s="44">
        <f>19549439.7+24675707.49</f>
        <v>44225147.189999998</v>
      </c>
    </row>
    <row r="19" spans="1:13" s="32" customFormat="1" ht="20.100000000000001" customHeight="1" x14ac:dyDescent="0.25">
      <c r="A19" s="17">
        <v>13401</v>
      </c>
      <c r="B19" s="8" t="s">
        <v>32</v>
      </c>
      <c r="C19" s="44">
        <v>0</v>
      </c>
      <c r="D19" s="44">
        <v>0</v>
      </c>
      <c r="E19" s="44">
        <f t="shared" si="9"/>
        <v>0</v>
      </c>
      <c r="F19" s="44">
        <v>103955</v>
      </c>
      <c r="G19" s="44">
        <f t="shared" si="2"/>
        <v>-103955</v>
      </c>
      <c r="H19" s="44">
        <f t="shared" si="6"/>
        <v>103955</v>
      </c>
      <c r="I19" s="44">
        <f t="shared" si="7"/>
        <v>0</v>
      </c>
      <c r="J19" s="44">
        <f t="shared" si="3"/>
        <v>-103955</v>
      </c>
      <c r="K19" s="44">
        <f t="shared" si="8"/>
        <v>103955</v>
      </c>
      <c r="L19" s="44">
        <v>0</v>
      </c>
      <c r="M19" s="44">
        <f t="shared" ref="M19:M73" si="10">H19-L19</f>
        <v>103955</v>
      </c>
    </row>
    <row r="20" spans="1:13" s="32" customFormat="1" ht="30" x14ac:dyDescent="0.25">
      <c r="A20" s="17">
        <v>13409</v>
      </c>
      <c r="B20" s="8" t="s">
        <v>33</v>
      </c>
      <c r="C20" s="44">
        <v>10647246</v>
      </c>
      <c r="D20" s="44">
        <f>126047.02-170675.24-43845.81</f>
        <v>-88474.029999999984</v>
      </c>
      <c r="E20" s="44">
        <f t="shared" si="9"/>
        <v>10558771.970000001</v>
      </c>
      <c r="F20" s="44">
        <v>10558771.970000001</v>
      </c>
      <c r="G20" s="44">
        <f t="shared" si="2"/>
        <v>0</v>
      </c>
      <c r="H20" s="44">
        <f t="shared" si="6"/>
        <v>10558771.970000001</v>
      </c>
      <c r="I20" s="44">
        <f t="shared" si="7"/>
        <v>0</v>
      </c>
      <c r="J20" s="44">
        <f t="shared" si="3"/>
        <v>0</v>
      </c>
      <c r="K20" s="44">
        <f t="shared" si="8"/>
        <v>10558771.970000001</v>
      </c>
      <c r="L20" s="44">
        <f t="shared" si="4"/>
        <v>10558771.970000001</v>
      </c>
      <c r="M20" s="44">
        <f t="shared" si="10"/>
        <v>0</v>
      </c>
    </row>
    <row r="21" spans="1:13" s="32" customFormat="1" ht="30" x14ac:dyDescent="0.25">
      <c r="A21" s="17">
        <v>13410</v>
      </c>
      <c r="B21" s="8" t="s">
        <v>34</v>
      </c>
      <c r="C21" s="44">
        <v>0</v>
      </c>
      <c r="D21" s="44">
        <v>546401.06000000006</v>
      </c>
      <c r="E21" s="44">
        <f t="shared" si="9"/>
        <v>546401.06000000006</v>
      </c>
      <c r="F21" s="44">
        <v>546401.06000000006</v>
      </c>
      <c r="G21" s="44">
        <f t="shared" si="2"/>
        <v>0</v>
      </c>
      <c r="H21" s="44">
        <f t="shared" si="6"/>
        <v>546401.06000000006</v>
      </c>
      <c r="I21" s="44">
        <f t="shared" si="7"/>
        <v>0</v>
      </c>
      <c r="J21" s="44">
        <f t="shared" si="3"/>
        <v>0</v>
      </c>
      <c r="K21" s="44">
        <f t="shared" si="8"/>
        <v>546401.06000000006</v>
      </c>
      <c r="L21" s="44">
        <v>0</v>
      </c>
      <c r="M21" s="44">
        <f t="shared" si="10"/>
        <v>546401.06000000006</v>
      </c>
    </row>
    <row r="22" spans="1:13" s="32" customFormat="1" ht="20.100000000000001" customHeight="1" x14ac:dyDescent="0.25">
      <c r="A22" s="17">
        <v>13415</v>
      </c>
      <c r="B22" s="8" t="s">
        <v>125</v>
      </c>
      <c r="C22" s="44">
        <v>0</v>
      </c>
      <c r="D22" s="44">
        <v>0</v>
      </c>
      <c r="E22" s="44">
        <f t="shared" si="9"/>
        <v>0</v>
      </c>
      <c r="F22" s="44">
        <v>1801695.49</v>
      </c>
      <c r="G22" s="44">
        <f t="shared" si="2"/>
        <v>-1801695.49</v>
      </c>
      <c r="H22" s="44">
        <f t="shared" si="6"/>
        <v>1801695.49</v>
      </c>
      <c r="I22" s="44">
        <f t="shared" si="7"/>
        <v>0</v>
      </c>
      <c r="J22" s="44">
        <f t="shared" si="3"/>
        <v>-1801695.49</v>
      </c>
      <c r="K22" s="44">
        <f t="shared" si="8"/>
        <v>1801695.49</v>
      </c>
      <c r="L22" s="44">
        <v>0</v>
      </c>
      <c r="M22" s="44">
        <f t="shared" si="10"/>
        <v>1801695.49</v>
      </c>
    </row>
    <row r="23" spans="1:13" s="32" customFormat="1" ht="20.100000000000001" customHeight="1" x14ac:dyDescent="0.25">
      <c r="A23" s="17">
        <v>13416</v>
      </c>
      <c r="B23" s="8" t="s">
        <v>106</v>
      </c>
      <c r="C23" s="44">
        <v>340572</v>
      </c>
      <c r="D23" s="44">
        <v>-340572</v>
      </c>
      <c r="E23" s="44">
        <f t="shared" si="9"/>
        <v>0</v>
      </c>
      <c r="F23" s="44">
        <v>12000</v>
      </c>
      <c r="G23" s="44">
        <f t="shared" si="2"/>
        <v>-12000</v>
      </c>
      <c r="H23" s="44">
        <f t="shared" si="6"/>
        <v>12000</v>
      </c>
      <c r="I23" s="44">
        <f t="shared" si="7"/>
        <v>0</v>
      </c>
      <c r="J23" s="44">
        <f t="shared" si="3"/>
        <v>-12000</v>
      </c>
      <c r="K23" s="44">
        <f t="shared" si="8"/>
        <v>12000</v>
      </c>
      <c r="L23" s="44">
        <v>0</v>
      </c>
      <c r="M23" s="44">
        <f t="shared" si="10"/>
        <v>12000</v>
      </c>
    </row>
    <row r="24" spans="1:13" s="32" customFormat="1" ht="30" x14ac:dyDescent="0.25">
      <c r="A24" s="17">
        <v>13417</v>
      </c>
      <c r="B24" s="8" t="s">
        <v>107</v>
      </c>
      <c r="C24" s="44">
        <v>0</v>
      </c>
      <c r="D24" s="44">
        <f>1753080+2420920-1211040-876960</f>
        <v>2086000</v>
      </c>
      <c r="E24" s="44">
        <f t="shared" si="9"/>
        <v>2086000</v>
      </c>
      <c r="F24" s="44">
        <v>2086000</v>
      </c>
      <c r="G24" s="44">
        <f t="shared" si="2"/>
        <v>0</v>
      </c>
      <c r="H24" s="44">
        <f t="shared" si="6"/>
        <v>2086000</v>
      </c>
      <c r="I24" s="44">
        <f t="shared" si="7"/>
        <v>0</v>
      </c>
      <c r="J24" s="44">
        <f t="shared" si="3"/>
        <v>0</v>
      </c>
      <c r="K24" s="44">
        <f t="shared" si="8"/>
        <v>2086000</v>
      </c>
      <c r="L24" s="44">
        <f t="shared" si="4"/>
        <v>2086000</v>
      </c>
      <c r="M24" s="44">
        <f t="shared" si="10"/>
        <v>0</v>
      </c>
    </row>
    <row r="25" spans="1:13" s="72" customFormat="1" ht="21.95" customHeight="1" x14ac:dyDescent="0.35">
      <c r="A25" s="65">
        <v>1400</v>
      </c>
      <c r="B25" s="71" t="s">
        <v>196</v>
      </c>
      <c r="C25" s="64">
        <f t="shared" ref="C25:M25" si="11">SUM(C26:C33)</f>
        <v>138724034</v>
      </c>
      <c r="D25" s="64">
        <f t="shared" si="11"/>
        <v>-26184121.02</v>
      </c>
      <c r="E25" s="64">
        <f t="shared" si="11"/>
        <v>112539912.98</v>
      </c>
      <c r="F25" s="64">
        <f t="shared" si="11"/>
        <v>112540094.48</v>
      </c>
      <c r="G25" s="64">
        <f t="shared" si="11"/>
        <v>-181.5</v>
      </c>
      <c r="H25" s="64">
        <f t="shared" si="11"/>
        <v>112540094.48</v>
      </c>
      <c r="I25" s="64">
        <f t="shared" si="11"/>
        <v>0</v>
      </c>
      <c r="J25" s="64">
        <f t="shared" si="11"/>
        <v>-181.5</v>
      </c>
      <c r="K25" s="64">
        <f t="shared" si="11"/>
        <v>112540094.48</v>
      </c>
      <c r="L25" s="64">
        <f t="shared" si="11"/>
        <v>104553753.14000002</v>
      </c>
      <c r="M25" s="64">
        <f t="shared" si="11"/>
        <v>7986341.3399999999</v>
      </c>
    </row>
    <row r="26" spans="1:13" s="32" customFormat="1" ht="20.100000000000001" customHeight="1" x14ac:dyDescent="0.35">
      <c r="A26" s="17">
        <v>14101</v>
      </c>
      <c r="B26" s="8" t="s">
        <v>35</v>
      </c>
      <c r="C26" s="44">
        <v>55008542</v>
      </c>
      <c r="D26" s="44">
        <f>7719271.48-1113466.98+1493339+1493339-11969210.51</f>
        <v>-2376728.0099999998</v>
      </c>
      <c r="E26" s="44">
        <f>C26+D26</f>
        <v>52631813.990000002</v>
      </c>
      <c r="F26" s="44">
        <v>52631813.990000002</v>
      </c>
      <c r="G26" s="44">
        <f t="shared" si="2"/>
        <v>0</v>
      </c>
      <c r="H26" s="44">
        <f t="shared" si="6"/>
        <v>52631813.990000002</v>
      </c>
      <c r="I26" s="44">
        <f t="shared" si="7"/>
        <v>0</v>
      </c>
      <c r="J26" s="44">
        <f t="shared" si="3"/>
        <v>0</v>
      </c>
      <c r="K26" s="44">
        <f t="shared" si="8"/>
        <v>52631813.990000002</v>
      </c>
      <c r="L26" s="44">
        <f>K26</f>
        <v>52631813.990000002</v>
      </c>
      <c r="M26" s="44">
        <f t="shared" si="10"/>
        <v>0</v>
      </c>
    </row>
    <row r="27" spans="1:13" s="32" customFormat="1" ht="20.100000000000001" customHeight="1" x14ac:dyDescent="0.35">
      <c r="A27" s="17">
        <v>14104</v>
      </c>
      <c r="B27" s="8" t="s">
        <v>139</v>
      </c>
      <c r="C27" s="44">
        <v>13876442</v>
      </c>
      <c r="D27" s="44">
        <f>-6938221-6387887.9+3366572.66-181.5</f>
        <v>-9959717.7400000002</v>
      </c>
      <c r="E27" s="44">
        <f t="shared" ref="E27:E33" si="12">C27+D27</f>
        <v>3916724.26</v>
      </c>
      <c r="F27" s="44">
        <v>3916905.76</v>
      </c>
      <c r="G27" s="44">
        <f t="shared" si="2"/>
        <v>-181.5</v>
      </c>
      <c r="H27" s="44">
        <f t="shared" si="6"/>
        <v>3916905.76</v>
      </c>
      <c r="I27" s="44">
        <f t="shared" si="7"/>
        <v>0</v>
      </c>
      <c r="J27" s="44">
        <f t="shared" si="3"/>
        <v>-181.5</v>
      </c>
      <c r="K27" s="44">
        <f t="shared" si="8"/>
        <v>3916905.76</v>
      </c>
      <c r="L27" s="44">
        <f>75512.16+181.5</f>
        <v>75693.66</v>
      </c>
      <c r="M27" s="44">
        <v>3841212.1</v>
      </c>
    </row>
    <row r="28" spans="1:13" s="32" customFormat="1" ht="30" x14ac:dyDescent="0.25">
      <c r="A28" s="17">
        <v>14105</v>
      </c>
      <c r="B28" s="8" t="s">
        <v>36</v>
      </c>
      <c r="C28" s="44">
        <v>23009078</v>
      </c>
      <c r="D28" s="44">
        <f>-1772609.58-1615048.94-4265115.44</f>
        <v>-7652773.9600000009</v>
      </c>
      <c r="E28" s="44">
        <f t="shared" si="12"/>
        <v>15356304.039999999</v>
      </c>
      <c r="F28" s="44">
        <v>15356304.039999999</v>
      </c>
      <c r="G28" s="44">
        <f t="shared" si="2"/>
        <v>0</v>
      </c>
      <c r="H28" s="44">
        <f t="shared" si="6"/>
        <v>15356304.039999999</v>
      </c>
      <c r="I28" s="44">
        <f t="shared" si="7"/>
        <v>0</v>
      </c>
      <c r="J28" s="44">
        <f t="shared" si="3"/>
        <v>0</v>
      </c>
      <c r="K28" s="44">
        <f t="shared" si="8"/>
        <v>15356304.039999999</v>
      </c>
      <c r="L28" s="44">
        <f>K28</f>
        <v>15356304.039999999</v>
      </c>
      <c r="M28" s="44">
        <f t="shared" si="10"/>
        <v>0</v>
      </c>
    </row>
    <row r="29" spans="1:13" s="32" customFormat="1" ht="20.100000000000001" customHeight="1" x14ac:dyDescent="0.25">
      <c r="A29" s="17">
        <v>14201</v>
      </c>
      <c r="B29" s="8" t="s">
        <v>37</v>
      </c>
      <c r="C29" s="44">
        <v>27587032</v>
      </c>
      <c r="D29" s="44">
        <f>3877622-564781.4+568027.5+568027.5-6119855.4</f>
        <v>-1670959.8000000007</v>
      </c>
      <c r="E29" s="44">
        <f t="shared" si="12"/>
        <v>25916072.199999999</v>
      </c>
      <c r="F29" s="44">
        <v>25916072.199999999</v>
      </c>
      <c r="G29" s="44">
        <f t="shared" si="2"/>
        <v>0</v>
      </c>
      <c r="H29" s="44">
        <f t="shared" si="6"/>
        <v>25916072.199999999</v>
      </c>
      <c r="I29" s="44">
        <f t="shared" si="7"/>
        <v>0</v>
      </c>
      <c r="J29" s="44">
        <f t="shared" si="3"/>
        <v>0</v>
      </c>
      <c r="K29" s="44">
        <f t="shared" si="8"/>
        <v>25916072.199999999</v>
      </c>
      <c r="L29" s="44">
        <f>19849533.51+1921409.45</f>
        <v>21770942.960000001</v>
      </c>
      <c r="M29" s="44">
        <f>582228.5+3562900.74</f>
        <v>4145129.24</v>
      </c>
    </row>
    <row r="30" spans="1:13" s="32" customFormat="1" ht="20.100000000000001" customHeight="1" x14ac:dyDescent="0.25">
      <c r="A30" s="17">
        <v>14301</v>
      </c>
      <c r="B30" s="8" t="s">
        <v>38</v>
      </c>
      <c r="C30" s="44">
        <v>11034812</v>
      </c>
      <c r="D30" s="44">
        <f>612943.38+712193.94+227208.5+227208.5-2447994.52</f>
        <v>-668440.20000000019</v>
      </c>
      <c r="E30" s="44">
        <f t="shared" si="12"/>
        <v>10366371.800000001</v>
      </c>
      <c r="F30" s="44">
        <v>10366371.800000001</v>
      </c>
      <c r="G30" s="44">
        <f t="shared" si="2"/>
        <v>0</v>
      </c>
      <c r="H30" s="44">
        <f t="shared" si="6"/>
        <v>10366371.800000001</v>
      </c>
      <c r="I30" s="44">
        <f t="shared" si="7"/>
        <v>0</v>
      </c>
      <c r="J30" s="44">
        <f t="shared" si="3"/>
        <v>0</v>
      </c>
      <c r="K30" s="44">
        <f t="shared" si="8"/>
        <v>10366371.800000001</v>
      </c>
      <c r="L30" s="44">
        <f>K30</f>
        <v>10366371.800000001</v>
      </c>
      <c r="M30" s="44">
        <f t="shared" si="10"/>
        <v>0</v>
      </c>
    </row>
    <row r="31" spans="1:13" s="32" customFormat="1" ht="20.100000000000001" customHeight="1" x14ac:dyDescent="0.25">
      <c r="A31" s="17">
        <v>14302</v>
      </c>
      <c r="B31" s="8" t="s">
        <v>39</v>
      </c>
      <c r="C31" s="44">
        <v>3900000</v>
      </c>
      <c r="D31" s="44">
        <f>10937.64-63670.42-1221209.79</f>
        <v>-1273942.57</v>
      </c>
      <c r="E31" s="44">
        <f t="shared" si="12"/>
        <v>2626057.4299999997</v>
      </c>
      <c r="F31" s="44">
        <v>2626057.4300000002</v>
      </c>
      <c r="G31" s="44">
        <f t="shared" si="2"/>
        <v>0</v>
      </c>
      <c r="H31" s="44">
        <f>F31</f>
        <v>2626057.4300000002</v>
      </c>
      <c r="I31" s="44">
        <f t="shared" si="7"/>
        <v>0</v>
      </c>
      <c r="J31" s="44">
        <f t="shared" si="3"/>
        <v>0</v>
      </c>
      <c r="K31" s="44">
        <f t="shared" si="8"/>
        <v>2626057.4300000002</v>
      </c>
      <c r="L31" s="44">
        <f t="shared" si="4"/>
        <v>2626057.4300000002</v>
      </c>
      <c r="M31" s="44">
        <f t="shared" si="10"/>
        <v>0</v>
      </c>
    </row>
    <row r="32" spans="1:13" s="32" customFormat="1" ht="20.100000000000001" customHeight="1" x14ac:dyDescent="0.25">
      <c r="A32" s="17">
        <v>14401</v>
      </c>
      <c r="B32" s="8" t="s">
        <v>133</v>
      </c>
      <c r="C32" s="44">
        <v>3518128</v>
      </c>
      <c r="D32" s="44">
        <f>-1436423.92-841330.93+184869+184869-586624.15</f>
        <v>-2494641</v>
      </c>
      <c r="E32" s="44">
        <f t="shared" si="12"/>
        <v>1023487</v>
      </c>
      <c r="F32" s="44">
        <v>1023487</v>
      </c>
      <c r="G32" s="44">
        <f t="shared" si="2"/>
        <v>0</v>
      </c>
      <c r="H32" s="44">
        <f t="shared" si="6"/>
        <v>1023487</v>
      </c>
      <c r="I32" s="44">
        <f t="shared" si="7"/>
        <v>0</v>
      </c>
      <c r="J32" s="44">
        <f t="shared" si="3"/>
        <v>0</v>
      </c>
      <c r="K32" s="44">
        <f t="shared" si="8"/>
        <v>1023487</v>
      </c>
      <c r="L32" s="44">
        <f t="shared" si="4"/>
        <v>1023487</v>
      </c>
      <c r="M32" s="44">
        <f t="shared" si="10"/>
        <v>0</v>
      </c>
    </row>
    <row r="33" spans="1:13" s="32" customFormat="1" ht="20.100000000000001" customHeight="1" x14ac:dyDescent="0.25">
      <c r="A33" s="17">
        <v>14405</v>
      </c>
      <c r="B33" s="8" t="s">
        <v>167</v>
      </c>
      <c r="C33" s="44">
        <v>790000</v>
      </c>
      <c r="D33" s="44">
        <f>-161048.64-138714.64+212845.54</f>
        <v>-86917.74000000002</v>
      </c>
      <c r="E33" s="44">
        <f t="shared" si="12"/>
        <v>703082.26</v>
      </c>
      <c r="F33" s="44">
        <v>703082.26</v>
      </c>
      <c r="G33" s="44">
        <f t="shared" ref="G33" si="13">E33-F33</f>
        <v>0</v>
      </c>
      <c r="H33" s="44">
        <f t="shared" ref="H33" si="14">F33</f>
        <v>703082.26</v>
      </c>
      <c r="I33" s="44">
        <f t="shared" ref="I33" si="15">F33-H33</f>
        <v>0</v>
      </c>
      <c r="J33" s="44">
        <f t="shared" ref="J33" si="16">E33-H33</f>
        <v>0</v>
      </c>
      <c r="K33" s="44">
        <f t="shared" ref="K33" si="17">F33</f>
        <v>703082.26</v>
      </c>
      <c r="L33" s="44">
        <f t="shared" ref="L33" si="18">K33</f>
        <v>703082.26</v>
      </c>
      <c r="M33" s="44">
        <f t="shared" ref="M33" si="19">H33-L33</f>
        <v>0</v>
      </c>
    </row>
    <row r="34" spans="1:13" s="72" customFormat="1" ht="21.95" customHeight="1" x14ac:dyDescent="0.25">
      <c r="A34" s="65">
        <v>1500</v>
      </c>
      <c r="B34" s="71" t="s">
        <v>197</v>
      </c>
      <c r="C34" s="64">
        <f t="shared" ref="C34:M34" si="20">SUM(C35:C66)</f>
        <v>166792266</v>
      </c>
      <c r="D34" s="64">
        <f t="shared" si="20"/>
        <v>217825819.72</v>
      </c>
      <c r="E34" s="64">
        <f t="shared" si="20"/>
        <v>384618085.71999991</v>
      </c>
      <c r="F34" s="64">
        <f t="shared" si="20"/>
        <v>485591521.23000002</v>
      </c>
      <c r="G34" s="64">
        <f t="shared" si="20"/>
        <v>-100973435.51000001</v>
      </c>
      <c r="H34" s="64">
        <f t="shared" si="20"/>
        <v>485591521.23000002</v>
      </c>
      <c r="I34" s="64">
        <f t="shared" si="20"/>
        <v>0</v>
      </c>
      <c r="J34" s="64">
        <f t="shared" si="20"/>
        <v>-100973435.51000001</v>
      </c>
      <c r="K34" s="64">
        <f t="shared" si="20"/>
        <v>485591521.23000002</v>
      </c>
      <c r="L34" s="64">
        <f t="shared" si="20"/>
        <v>275653452.81999999</v>
      </c>
      <c r="M34" s="64">
        <f t="shared" si="20"/>
        <v>209938068.40999997</v>
      </c>
    </row>
    <row r="35" spans="1:13" s="32" customFormat="1" ht="20.100000000000001" customHeight="1" x14ac:dyDescent="0.25">
      <c r="A35" s="17">
        <v>15202</v>
      </c>
      <c r="B35" s="8" t="s">
        <v>41</v>
      </c>
      <c r="C35" s="44">
        <v>0</v>
      </c>
      <c r="D35" s="44">
        <f>131325.9</f>
        <v>131325.9</v>
      </c>
      <c r="E35" s="44">
        <f t="shared" ref="E35:E66" si="21">C35+D35</f>
        <v>131325.9</v>
      </c>
      <c r="F35" s="44">
        <v>356317.28</v>
      </c>
      <c r="G35" s="44">
        <f t="shared" si="2"/>
        <v>-224991.38000000003</v>
      </c>
      <c r="H35" s="44">
        <f t="shared" si="6"/>
        <v>356317.28</v>
      </c>
      <c r="I35" s="44">
        <f t="shared" si="7"/>
        <v>0</v>
      </c>
      <c r="J35" s="44">
        <f t="shared" si="3"/>
        <v>-224991.38000000003</v>
      </c>
      <c r="K35" s="44">
        <f t="shared" si="8"/>
        <v>356317.28</v>
      </c>
      <c r="L35" s="44">
        <v>67768.800000000003</v>
      </c>
      <c r="M35" s="44">
        <v>288548.47999999998</v>
      </c>
    </row>
    <row r="36" spans="1:13" s="32" customFormat="1" ht="20.100000000000001" customHeight="1" x14ac:dyDescent="0.25">
      <c r="A36" s="17">
        <v>15203</v>
      </c>
      <c r="B36" s="8" t="s">
        <v>176</v>
      </c>
      <c r="C36" s="44">
        <v>0</v>
      </c>
      <c r="D36" s="44">
        <v>63557.1</v>
      </c>
      <c r="E36" s="44">
        <f t="shared" si="21"/>
        <v>63557.1</v>
      </c>
      <c r="F36" s="44">
        <v>63557.1</v>
      </c>
      <c r="G36" s="44">
        <f t="shared" si="2"/>
        <v>0</v>
      </c>
      <c r="H36" s="44">
        <f t="shared" si="6"/>
        <v>63557.1</v>
      </c>
      <c r="I36" s="44">
        <f t="shared" si="7"/>
        <v>0</v>
      </c>
      <c r="J36" s="44">
        <f t="shared" si="3"/>
        <v>0</v>
      </c>
      <c r="K36" s="44">
        <f t="shared" si="8"/>
        <v>63557.1</v>
      </c>
      <c r="L36" s="44">
        <f t="shared" si="4"/>
        <v>63557.1</v>
      </c>
      <c r="M36" s="44">
        <f t="shared" si="10"/>
        <v>0</v>
      </c>
    </row>
    <row r="37" spans="1:13" s="32" customFormat="1" ht="45" x14ac:dyDescent="0.25">
      <c r="A37" s="17">
        <v>15401</v>
      </c>
      <c r="B37" s="8" t="s">
        <v>42</v>
      </c>
      <c r="C37" s="44">
        <v>0</v>
      </c>
      <c r="D37" s="44">
        <v>0</v>
      </c>
      <c r="E37" s="44">
        <f t="shared" si="21"/>
        <v>0</v>
      </c>
      <c r="F37" s="44">
        <v>6000000</v>
      </c>
      <c r="G37" s="89">
        <f t="shared" si="2"/>
        <v>-6000000</v>
      </c>
      <c r="H37" s="44">
        <f t="shared" si="6"/>
        <v>6000000</v>
      </c>
      <c r="I37" s="44">
        <f t="shared" si="7"/>
        <v>0</v>
      </c>
      <c r="J37" s="44">
        <f t="shared" si="3"/>
        <v>-6000000</v>
      </c>
      <c r="K37" s="44">
        <f t="shared" si="8"/>
        <v>6000000</v>
      </c>
      <c r="L37" s="44">
        <v>0</v>
      </c>
      <c r="M37" s="44">
        <f t="shared" si="10"/>
        <v>6000000</v>
      </c>
    </row>
    <row r="38" spans="1:13" s="32" customFormat="1" ht="20.100000000000001" customHeight="1" x14ac:dyDescent="0.25">
      <c r="A38" s="17">
        <v>15402</v>
      </c>
      <c r="B38" s="8" t="s">
        <v>43</v>
      </c>
      <c r="C38" s="44">
        <v>0</v>
      </c>
      <c r="D38" s="44">
        <f>2098800</f>
        <v>2098800</v>
      </c>
      <c r="E38" s="44">
        <f t="shared" si="21"/>
        <v>2098800</v>
      </c>
      <c r="F38" s="44">
        <v>2098800</v>
      </c>
      <c r="G38" s="44">
        <f t="shared" si="2"/>
        <v>0</v>
      </c>
      <c r="H38" s="44">
        <f t="shared" si="6"/>
        <v>2098800</v>
      </c>
      <c r="I38" s="44">
        <f t="shared" si="7"/>
        <v>0</v>
      </c>
      <c r="J38" s="44">
        <f t="shared" si="3"/>
        <v>0</v>
      </c>
      <c r="K38" s="44">
        <f t="shared" si="8"/>
        <v>2098800</v>
      </c>
      <c r="L38" s="44">
        <f t="shared" si="4"/>
        <v>2098800</v>
      </c>
      <c r="M38" s="44">
        <f t="shared" si="10"/>
        <v>0</v>
      </c>
    </row>
    <row r="39" spans="1:13" s="32" customFormat="1" ht="20.100000000000001" customHeight="1" x14ac:dyDescent="0.25">
      <c r="A39" s="17">
        <v>15404</v>
      </c>
      <c r="B39" s="8" t="s">
        <v>144</v>
      </c>
      <c r="C39" s="44">
        <v>0</v>
      </c>
      <c r="D39" s="44">
        <v>0</v>
      </c>
      <c r="E39" s="44">
        <f>C39+D39</f>
        <v>0</v>
      </c>
      <c r="F39" s="44">
        <v>4000000</v>
      </c>
      <c r="G39" s="89">
        <f t="shared" si="2"/>
        <v>-4000000</v>
      </c>
      <c r="H39" s="44">
        <f t="shared" si="6"/>
        <v>4000000</v>
      </c>
      <c r="I39" s="44">
        <f t="shared" si="7"/>
        <v>0</v>
      </c>
      <c r="J39" s="44">
        <f t="shared" si="3"/>
        <v>-4000000</v>
      </c>
      <c r="K39" s="44">
        <f t="shared" si="8"/>
        <v>4000000</v>
      </c>
      <c r="L39" s="44">
        <v>0</v>
      </c>
      <c r="M39" s="44">
        <f t="shared" si="10"/>
        <v>4000000</v>
      </c>
    </row>
    <row r="40" spans="1:13" s="32" customFormat="1" ht="20.100000000000001" customHeight="1" x14ac:dyDescent="0.25">
      <c r="A40" s="17">
        <v>15405</v>
      </c>
      <c r="B40" s="8" t="s">
        <v>130</v>
      </c>
      <c r="C40" s="44">
        <v>0</v>
      </c>
      <c r="D40" s="44">
        <v>0</v>
      </c>
      <c r="E40" s="44">
        <f t="shared" si="21"/>
        <v>0</v>
      </c>
      <c r="F40" s="44">
        <v>0</v>
      </c>
      <c r="G40" s="44">
        <f t="shared" si="2"/>
        <v>0</v>
      </c>
      <c r="H40" s="44">
        <f t="shared" si="6"/>
        <v>0</v>
      </c>
      <c r="I40" s="44">
        <f t="shared" si="7"/>
        <v>0</v>
      </c>
      <c r="J40" s="44">
        <f t="shared" si="3"/>
        <v>0</v>
      </c>
      <c r="K40" s="44">
        <f t="shared" si="8"/>
        <v>0</v>
      </c>
      <c r="L40" s="44">
        <f t="shared" si="4"/>
        <v>0</v>
      </c>
      <c r="M40" s="44">
        <f t="shared" si="10"/>
        <v>0</v>
      </c>
    </row>
    <row r="41" spans="1:13" s="32" customFormat="1" ht="20.100000000000001" customHeight="1" x14ac:dyDescent="0.25">
      <c r="A41" s="17">
        <v>15406</v>
      </c>
      <c r="B41" s="8" t="s">
        <v>140</v>
      </c>
      <c r="C41" s="44">
        <v>2545000</v>
      </c>
      <c r="D41" s="44">
        <v>6164000</v>
      </c>
      <c r="E41" s="44">
        <f t="shared" si="21"/>
        <v>8709000</v>
      </c>
      <c r="F41" s="44">
        <v>8709000</v>
      </c>
      <c r="G41" s="44">
        <f t="shared" si="2"/>
        <v>0</v>
      </c>
      <c r="H41" s="44">
        <f t="shared" si="6"/>
        <v>8709000</v>
      </c>
      <c r="I41" s="44">
        <f t="shared" si="7"/>
        <v>0</v>
      </c>
      <c r="J41" s="44">
        <f t="shared" si="3"/>
        <v>0</v>
      </c>
      <c r="K41" s="44">
        <f t="shared" si="8"/>
        <v>8709000</v>
      </c>
      <c r="L41" s="44">
        <v>0</v>
      </c>
      <c r="M41" s="44">
        <f t="shared" si="10"/>
        <v>8709000</v>
      </c>
    </row>
    <row r="42" spans="1:13" s="32" customFormat="1" ht="20.100000000000001" customHeight="1" x14ac:dyDescent="0.25">
      <c r="A42" s="17">
        <v>15407</v>
      </c>
      <c r="B42" s="8" t="s">
        <v>108</v>
      </c>
      <c r="C42" s="44">
        <v>7883749</v>
      </c>
      <c r="D42" s="44">
        <f>-1141665.63+127119+127119-521754.98</f>
        <v>-1409182.6099999999</v>
      </c>
      <c r="E42" s="44">
        <f t="shared" si="21"/>
        <v>6474566.3900000006</v>
      </c>
      <c r="F42" s="44">
        <v>6474566.3899999997</v>
      </c>
      <c r="G42" s="44">
        <f t="shared" si="2"/>
        <v>0</v>
      </c>
      <c r="H42" s="44">
        <f t="shared" si="6"/>
        <v>6474566.3899999997</v>
      </c>
      <c r="I42" s="44">
        <f t="shared" si="7"/>
        <v>0</v>
      </c>
      <c r="J42" s="44">
        <f t="shared" si="3"/>
        <v>0</v>
      </c>
      <c r="K42" s="44">
        <f t="shared" si="8"/>
        <v>6474566.3899999997</v>
      </c>
      <c r="L42" s="44">
        <f t="shared" si="4"/>
        <v>6474566.3899999997</v>
      </c>
      <c r="M42" s="44">
        <f t="shared" si="10"/>
        <v>0</v>
      </c>
    </row>
    <row r="43" spans="1:13" s="32" customFormat="1" ht="20.100000000000001" customHeight="1" x14ac:dyDescent="0.25">
      <c r="A43" s="17">
        <v>15410</v>
      </c>
      <c r="B43" s="8" t="s">
        <v>109</v>
      </c>
      <c r="C43" s="44">
        <v>0</v>
      </c>
      <c r="D43" s="44">
        <v>2080650</v>
      </c>
      <c r="E43" s="44">
        <f t="shared" si="21"/>
        <v>2080650</v>
      </c>
      <c r="F43" s="44">
        <v>2080650</v>
      </c>
      <c r="G43" s="44">
        <f t="shared" si="2"/>
        <v>0</v>
      </c>
      <c r="H43" s="44">
        <f t="shared" si="6"/>
        <v>2080650</v>
      </c>
      <c r="I43" s="44">
        <f t="shared" si="7"/>
        <v>0</v>
      </c>
      <c r="J43" s="44">
        <f t="shared" si="3"/>
        <v>0</v>
      </c>
      <c r="K43" s="44">
        <f t="shared" si="8"/>
        <v>2080650</v>
      </c>
      <c r="L43" s="44">
        <f t="shared" si="4"/>
        <v>2080650</v>
      </c>
      <c r="M43" s="44">
        <f t="shared" si="10"/>
        <v>0</v>
      </c>
    </row>
    <row r="44" spans="1:13" s="32" customFormat="1" ht="20.100000000000001" customHeight="1" x14ac:dyDescent="0.25">
      <c r="A44" s="17">
        <v>15412</v>
      </c>
      <c r="B44" s="8" t="s">
        <v>110</v>
      </c>
      <c r="C44" s="44">
        <v>38309048</v>
      </c>
      <c r="D44" s="44">
        <f>819637+819637-9921906.67</f>
        <v>-8282632.6699999999</v>
      </c>
      <c r="E44" s="44">
        <f t="shared" si="21"/>
        <v>30026415.329999998</v>
      </c>
      <c r="F44" s="44">
        <v>30026415.329999998</v>
      </c>
      <c r="G44" s="44">
        <f t="shared" si="2"/>
        <v>0</v>
      </c>
      <c r="H44" s="44">
        <f t="shared" si="6"/>
        <v>30026415.329999998</v>
      </c>
      <c r="I44" s="44">
        <f t="shared" si="7"/>
        <v>0</v>
      </c>
      <c r="J44" s="44">
        <f t="shared" si="3"/>
        <v>0</v>
      </c>
      <c r="K44" s="44">
        <f t="shared" si="8"/>
        <v>30026415.329999998</v>
      </c>
      <c r="L44" s="44">
        <f>14139381.9+6029620.03</f>
        <v>20169001.93</v>
      </c>
      <c r="M44" s="44">
        <f>5834779.1+4022634.3</f>
        <v>9857413.3999999985</v>
      </c>
    </row>
    <row r="45" spans="1:13" s="32" customFormat="1" ht="20.100000000000001" customHeight="1" x14ac:dyDescent="0.25">
      <c r="A45" s="17">
        <v>15413</v>
      </c>
      <c r="B45" s="8" t="s">
        <v>111</v>
      </c>
      <c r="C45" s="44">
        <v>10131950</v>
      </c>
      <c r="D45" s="44">
        <v>-2506861.7000000002</v>
      </c>
      <c r="E45" s="44">
        <f t="shared" si="21"/>
        <v>7625088.2999999998</v>
      </c>
      <c r="F45" s="44">
        <v>14952578.210000001</v>
      </c>
      <c r="G45" s="44">
        <f t="shared" si="2"/>
        <v>-7327489.9100000011</v>
      </c>
      <c r="H45" s="44">
        <f t="shared" si="6"/>
        <v>14952578.210000001</v>
      </c>
      <c r="I45" s="44">
        <f t="shared" si="7"/>
        <v>0</v>
      </c>
      <c r="J45" s="44">
        <f t="shared" si="3"/>
        <v>-7327489.9100000011</v>
      </c>
      <c r="K45" s="44">
        <f t="shared" si="8"/>
        <v>14952578.210000001</v>
      </c>
      <c r="L45" s="44">
        <f>4790382.75</f>
        <v>4790382.75</v>
      </c>
      <c r="M45" s="44">
        <v>10162195.460000001</v>
      </c>
    </row>
    <row r="46" spans="1:13" s="32" customFormat="1" ht="20.100000000000001" customHeight="1" x14ac:dyDescent="0.25">
      <c r="A46" s="17">
        <v>15414</v>
      </c>
      <c r="B46" s="8" t="s">
        <v>112</v>
      </c>
      <c r="C46" s="44">
        <v>44935047</v>
      </c>
      <c r="D46" s="44">
        <f>-3962490.92-2036918.51+3920431.74+2099826.04</f>
        <v>20848.350000000559</v>
      </c>
      <c r="E46" s="44">
        <f t="shared" si="21"/>
        <v>44955895.350000001</v>
      </c>
      <c r="F46" s="44">
        <v>44955895.350000001</v>
      </c>
      <c r="G46" s="44">
        <f t="shared" si="2"/>
        <v>0</v>
      </c>
      <c r="H46" s="44">
        <f t="shared" si="6"/>
        <v>44955895.350000001</v>
      </c>
      <c r="I46" s="44">
        <f t="shared" si="7"/>
        <v>0</v>
      </c>
      <c r="J46" s="44">
        <f t="shared" si="3"/>
        <v>0</v>
      </c>
      <c r="K46" s="44">
        <f t="shared" si="8"/>
        <v>44955895.350000001</v>
      </c>
      <c r="L46" s="44">
        <f>22106553.59+22847705.26</f>
        <v>44954258.850000001</v>
      </c>
      <c r="M46" s="44">
        <v>1636.5</v>
      </c>
    </row>
    <row r="47" spans="1:13" s="32" customFormat="1" ht="20.100000000000001" customHeight="1" x14ac:dyDescent="0.25">
      <c r="A47" s="17">
        <v>15416</v>
      </c>
      <c r="B47" s="8" t="s">
        <v>40</v>
      </c>
      <c r="C47" s="44">
        <v>0</v>
      </c>
      <c r="D47" s="44">
        <v>30090000</v>
      </c>
      <c r="E47" s="44">
        <f>C47+D47</f>
        <v>30090000</v>
      </c>
      <c r="F47" s="44">
        <v>59902000</v>
      </c>
      <c r="G47" s="44">
        <f t="shared" si="2"/>
        <v>-29812000</v>
      </c>
      <c r="H47" s="44">
        <f t="shared" si="6"/>
        <v>59902000</v>
      </c>
      <c r="I47" s="44">
        <f t="shared" si="7"/>
        <v>0</v>
      </c>
      <c r="J47" s="44">
        <f t="shared" si="3"/>
        <v>-29812000</v>
      </c>
      <c r="K47" s="44">
        <f t="shared" si="8"/>
        <v>59902000</v>
      </c>
      <c r="L47" s="44">
        <v>34980000</v>
      </c>
      <c r="M47" s="44">
        <v>24922000</v>
      </c>
    </row>
    <row r="48" spans="1:13" s="32" customFormat="1" ht="20.100000000000001" customHeight="1" x14ac:dyDescent="0.25">
      <c r="A48" s="17">
        <v>15417</v>
      </c>
      <c r="B48" s="8" t="s">
        <v>113</v>
      </c>
      <c r="C48" s="44">
        <v>0</v>
      </c>
      <c r="D48" s="44">
        <f>536847.95+346391.53+14951490+512678.46</f>
        <v>16347407.940000001</v>
      </c>
      <c r="E48" s="44">
        <f t="shared" si="21"/>
        <v>16347407.940000001</v>
      </c>
      <c r="F48" s="44">
        <v>16347407.939999999</v>
      </c>
      <c r="G48" s="44">
        <f t="shared" si="2"/>
        <v>0</v>
      </c>
      <c r="H48" s="44">
        <f t="shared" si="6"/>
        <v>16347407.939999999</v>
      </c>
      <c r="I48" s="44">
        <f t="shared" si="7"/>
        <v>0</v>
      </c>
      <c r="J48" s="44">
        <f t="shared" si="3"/>
        <v>0</v>
      </c>
      <c r="K48" s="44">
        <f t="shared" si="8"/>
        <v>16347407.939999999</v>
      </c>
      <c r="L48" s="44">
        <v>15272314.33</v>
      </c>
      <c r="M48" s="44">
        <v>1075093.6100000001</v>
      </c>
    </row>
    <row r="49" spans="1:13" s="32" customFormat="1" ht="20.100000000000001" customHeight="1" x14ac:dyDescent="0.25">
      <c r="A49" s="17">
        <v>15418</v>
      </c>
      <c r="B49" s="8" t="s">
        <v>114</v>
      </c>
      <c r="C49" s="44">
        <v>0</v>
      </c>
      <c r="D49" s="44">
        <f>-1517596.6+16638255+678204.52</f>
        <v>15798862.92</v>
      </c>
      <c r="E49" s="44">
        <f t="shared" si="21"/>
        <v>15798862.92</v>
      </c>
      <c r="F49" s="44">
        <v>15798862.92</v>
      </c>
      <c r="G49" s="44">
        <f t="shared" si="2"/>
        <v>0</v>
      </c>
      <c r="H49" s="44">
        <f t="shared" si="6"/>
        <v>15798862.92</v>
      </c>
      <c r="I49" s="44">
        <f t="shared" si="7"/>
        <v>0</v>
      </c>
      <c r="J49" s="44">
        <f t="shared" si="3"/>
        <v>0</v>
      </c>
      <c r="K49" s="44">
        <f t="shared" si="8"/>
        <v>15798862.92</v>
      </c>
      <c r="L49" s="44">
        <v>15120571.57</v>
      </c>
      <c r="M49" s="44">
        <v>678291.35</v>
      </c>
    </row>
    <row r="50" spans="1:13" s="32" customFormat="1" ht="20.100000000000001" customHeight="1" x14ac:dyDescent="0.25">
      <c r="A50" s="17">
        <v>15419</v>
      </c>
      <c r="B50" s="8" t="s">
        <v>115</v>
      </c>
      <c r="C50" s="44">
        <v>0</v>
      </c>
      <c r="D50" s="44">
        <f>396052.61+37795.54+37518980+1821434.31</f>
        <v>39774262.460000001</v>
      </c>
      <c r="E50" s="44">
        <f t="shared" si="21"/>
        <v>39774262.460000001</v>
      </c>
      <c r="F50" s="44">
        <v>39774262.460000001</v>
      </c>
      <c r="G50" s="44">
        <f t="shared" si="2"/>
        <v>0</v>
      </c>
      <c r="H50" s="44">
        <f t="shared" si="6"/>
        <v>39774262.460000001</v>
      </c>
      <c r="I50" s="44">
        <f t="shared" si="7"/>
        <v>0</v>
      </c>
      <c r="J50" s="44">
        <f t="shared" si="3"/>
        <v>0</v>
      </c>
      <c r="K50" s="44">
        <f t="shared" si="8"/>
        <v>39774262.460000001</v>
      </c>
      <c r="L50" s="44">
        <v>37952828.149999999</v>
      </c>
      <c r="M50" s="44">
        <v>1821434.31</v>
      </c>
    </row>
    <row r="51" spans="1:13" s="32" customFormat="1" ht="20.100000000000001" customHeight="1" x14ac:dyDescent="0.25">
      <c r="A51" s="17">
        <v>15420</v>
      </c>
      <c r="B51" s="8" t="s">
        <v>116</v>
      </c>
      <c r="C51" s="44">
        <v>0</v>
      </c>
      <c r="D51" s="44">
        <f>2864500+2937600</f>
        <v>5802100</v>
      </c>
      <c r="E51" s="44">
        <f t="shared" si="21"/>
        <v>5802100</v>
      </c>
      <c r="F51" s="44">
        <v>5802100</v>
      </c>
      <c r="G51" s="44">
        <f t="shared" si="2"/>
        <v>0</v>
      </c>
      <c r="H51" s="44">
        <f t="shared" si="6"/>
        <v>5802100</v>
      </c>
      <c r="I51" s="44">
        <f t="shared" si="7"/>
        <v>0</v>
      </c>
      <c r="J51" s="44">
        <f t="shared" si="3"/>
        <v>0</v>
      </c>
      <c r="K51" s="44">
        <f t="shared" si="8"/>
        <v>5802100</v>
      </c>
      <c r="L51" s="44">
        <f t="shared" si="4"/>
        <v>5802100</v>
      </c>
      <c r="M51" s="44">
        <f t="shared" si="10"/>
        <v>0</v>
      </c>
    </row>
    <row r="52" spans="1:13" s="32" customFormat="1" ht="20.100000000000001" customHeight="1" x14ac:dyDescent="0.25">
      <c r="A52" s="17">
        <v>15421</v>
      </c>
      <c r="B52" s="8" t="s">
        <v>117</v>
      </c>
      <c r="C52" s="44">
        <v>0</v>
      </c>
      <c r="D52" s="44">
        <v>0</v>
      </c>
      <c r="E52" s="44">
        <f t="shared" si="21"/>
        <v>0</v>
      </c>
      <c r="F52" s="44">
        <v>0</v>
      </c>
      <c r="G52" s="44">
        <f t="shared" si="2"/>
        <v>0</v>
      </c>
      <c r="H52" s="44">
        <f t="shared" si="6"/>
        <v>0</v>
      </c>
      <c r="I52" s="44">
        <f t="shared" si="7"/>
        <v>0</v>
      </c>
      <c r="J52" s="44">
        <f t="shared" si="3"/>
        <v>0</v>
      </c>
      <c r="K52" s="44">
        <f t="shared" si="8"/>
        <v>0</v>
      </c>
      <c r="L52" s="44">
        <f t="shared" si="4"/>
        <v>0</v>
      </c>
      <c r="M52" s="44">
        <f t="shared" si="10"/>
        <v>0</v>
      </c>
    </row>
    <row r="53" spans="1:13" s="32" customFormat="1" ht="20.100000000000001" customHeight="1" x14ac:dyDescent="0.25">
      <c r="A53" s="17">
        <v>15422</v>
      </c>
      <c r="B53" s="8" t="s">
        <v>118</v>
      </c>
      <c r="C53" s="44">
        <v>2720520</v>
      </c>
      <c r="D53" s="44">
        <f>107544.5+170846.5-331167+276031.5</f>
        <v>223255.5</v>
      </c>
      <c r="E53" s="44">
        <f t="shared" si="21"/>
        <v>2943775.5</v>
      </c>
      <c r="F53" s="44">
        <v>2943775.5</v>
      </c>
      <c r="G53" s="44">
        <f t="shared" si="2"/>
        <v>0</v>
      </c>
      <c r="H53" s="44">
        <f t="shared" si="6"/>
        <v>2943775.5</v>
      </c>
      <c r="I53" s="44">
        <f t="shared" si="7"/>
        <v>0</v>
      </c>
      <c r="J53" s="44">
        <f t="shared" si="3"/>
        <v>0</v>
      </c>
      <c r="K53" s="44">
        <f t="shared" si="8"/>
        <v>2943775.5</v>
      </c>
      <c r="L53" s="44">
        <f t="shared" si="4"/>
        <v>2943775.5</v>
      </c>
      <c r="M53" s="44">
        <f t="shared" si="10"/>
        <v>0</v>
      </c>
    </row>
    <row r="54" spans="1:13" s="32" customFormat="1" ht="20.100000000000001" customHeight="1" x14ac:dyDescent="0.25">
      <c r="A54" s="17">
        <v>15423</v>
      </c>
      <c r="B54" s="8" t="s">
        <v>119</v>
      </c>
      <c r="C54" s="44">
        <v>118890</v>
      </c>
      <c r="D54" s="44">
        <f>-32132.3-28646.7-11845.5+2904.5</f>
        <v>-69720</v>
      </c>
      <c r="E54" s="44">
        <f t="shared" si="21"/>
        <v>49170</v>
      </c>
      <c r="F54" s="44">
        <v>49170</v>
      </c>
      <c r="G54" s="44">
        <f t="shared" si="2"/>
        <v>0</v>
      </c>
      <c r="H54" s="44">
        <f t="shared" si="6"/>
        <v>49170</v>
      </c>
      <c r="I54" s="44">
        <f t="shared" si="7"/>
        <v>0</v>
      </c>
      <c r="J54" s="44">
        <f t="shared" si="3"/>
        <v>0</v>
      </c>
      <c r="K54" s="44">
        <f t="shared" si="8"/>
        <v>49170</v>
      </c>
      <c r="L54" s="44">
        <f t="shared" si="4"/>
        <v>49170</v>
      </c>
      <c r="M54" s="44">
        <f t="shared" si="10"/>
        <v>0</v>
      </c>
    </row>
    <row r="55" spans="1:13" s="32" customFormat="1" ht="20.100000000000001" customHeight="1" x14ac:dyDescent="0.25">
      <c r="A55" s="17">
        <v>15424</v>
      </c>
      <c r="B55" s="8" t="s">
        <v>120</v>
      </c>
      <c r="C55" s="44">
        <v>15838586</v>
      </c>
      <c r="D55" s="44">
        <v>2513062.41</v>
      </c>
      <c r="E55" s="44">
        <f>C55+D55</f>
        <v>18351648.41</v>
      </c>
      <c r="F55" s="44">
        <v>29278506.449999999</v>
      </c>
      <c r="G55" s="44">
        <f t="shared" si="2"/>
        <v>-10926858.039999999</v>
      </c>
      <c r="H55" s="44">
        <f t="shared" si="6"/>
        <v>29278506.449999999</v>
      </c>
      <c r="I55" s="44">
        <f t="shared" si="7"/>
        <v>0</v>
      </c>
      <c r="J55" s="44">
        <f t="shared" si="3"/>
        <v>-10926858.039999999</v>
      </c>
      <c r="K55" s="44">
        <f t="shared" si="8"/>
        <v>29278506.449999999</v>
      </c>
      <c r="L55" s="44">
        <f>289873.25+306310.45</f>
        <v>596183.69999999995</v>
      </c>
      <c r="M55" s="44">
        <v>28682322.75</v>
      </c>
    </row>
    <row r="56" spans="1:13" s="32" customFormat="1" ht="20.100000000000001" customHeight="1" x14ac:dyDescent="0.25">
      <c r="A56" s="17">
        <v>15425</v>
      </c>
      <c r="B56" s="8" t="s">
        <v>121</v>
      </c>
      <c r="C56" s="44">
        <v>0</v>
      </c>
      <c r="D56" s="44">
        <v>122558513.93000001</v>
      </c>
      <c r="E56" s="44">
        <f t="shared" si="21"/>
        <v>122558513.93000001</v>
      </c>
      <c r="F56" s="44">
        <v>134207341.28</v>
      </c>
      <c r="G56" s="44">
        <f t="shared" si="2"/>
        <v>-11648827.349999994</v>
      </c>
      <c r="H56" s="44">
        <f t="shared" si="6"/>
        <v>134207341.28</v>
      </c>
      <c r="I56" s="44">
        <f t="shared" si="7"/>
        <v>0</v>
      </c>
      <c r="J56" s="44">
        <f t="shared" si="3"/>
        <v>-11648827.349999994</v>
      </c>
      <c r="K56" s="44">
        <f t="shared" si="8"/>
        <v>134207341.28</v>
      </c>
      <c r="L56" s="44">
        <v>63978513.93</v>
      </c>
      <c r="M56" s="44">
        <v>70228827.349999994</v>
      </c>
    </row>
    <row r="57" spans="1:13" s="32" customFormat="1" ht="20.100000000000001" customHeight="1" x14ac:dyDescent="0.25">
      <c r="A57" s="17">
        <v>15426</v>
      </c>
      <c r="B57" s="8" t="s">
        <v>122</v>
      </c>
      <c r="C57" s="44">
        <v>12399628</v>
      </c>
      <c r="D57" s="44">
        <f>-1149310.41+196227+196227+1720848.81</f>
        <v>963992.40000000014</v>
      </c>
      <c r="E57" s="44">
        <f t="shared" si="21"/>
        <v>13363620.4</v>
      </c>
      <c r="F57" s="44">
        <v>13363620.4</v>
      </c>
      <c r="G57" s="44">
        <f t="shared" si="2"/>
        <v>0</v>
      </c>
      <c r="H57" s="44">
        <f t="shared" si="6"/>
        <v>13363620.4</v>
      </c>
      <c r="I57" s="44">
        <f t="shared" si="7"/>
        <v>0</v>
      </c>
      <c r="J57" s="44">
        <f t="shared" si="3"/>
        <v>0</v>
      </c>
      <c r="K57" s="44">
        <f t="shared" si="8"/>
        <v>13363620.4</v>
      </c>
      <c r="L57" s="44">
        <f>6389571.23+6408793.56</f>
        <v>12798364.789999999</v>
      </c>
      <c r="M57" s="44">
        <f>211653+353602.61</f>
        <v>565255.61</v>
      </c>
    </row>
    <row r="58" spans="1:13" s="32" customFormat="1" ht="20.100000000000001" customHeight="1" x14ac:dyDescent="0.25">
      <c r="A58" s="17">
        <v>15427</v>
      </c>
      <c r="B58" s="8" t="s">
        <v>126</v>
      </c>
      <c r="C58" s="44">
        <v>0</v>
      </c>
      <c r="D58" s="44">
        <v>0</v>
      </c>
      <c r="E58" s="44">
        <f>C58+D58</f>
        <v>0</v>
      </c>
      <c r="F58" s="44">
        <v>0</v>
      </c>
      <c r="G58" s="44">
        <f t="shared" si="2"/>
        <v>0</v>
      </c>
      <c r="H58" s="44">
        <f t="shared" si="6"/>
        <v>0</v>
      </c>
      <c r="I58" s="44">
        <f t="shared" si="7"/>
        <v>0</v>
      </c>
      <c r="J58" s="44">
        <f t="shared" si="3"/>
        <v>0</v>
      </c>
      <c r="K58" s="44">
        <f t="shared" si="8"/>
        <v>0</v>
      </c>
      <c r="L58" s="44">
        <f t="shared" si="4"/>
        <v>0</v>
      </c>
      <c r="M58" s="44">
        <f t="shared" si="10"/>
        <v>0</v>
      </c>
    </row>
    <row r="59" spans="1:13" s="32" customFormat="1" ht="20.100000000000001" customHeight="1" x14ac:dyDescent="0.25">
      <c r="A59" s="17">
        <v>15428</v>
      </c>
      <c r="B59" s="8" t="s">
        <v>127</v>
      </c>
      <c r="C59" s="44">
        <v>0</v>
      </c>
      <c r="D59" s="44">
        <v>0</v>
      </c>
      <c r="E59" s="44">
        <f t="shared" si="21"/>
        <v>0</v>
      </c>
      <c r="F59" s="44">
        <v>2486957.98</v>
      </c>
      <c r="G59" s="44">
        <f t="shared" si="2"/>
        <v>-2486957.98</v>
      </c>
      <c r="H59" s="44">
        <f t="shared" si="6"/>
        <v>2486957.98</v>
      </c>
      <c r="I59" s="44">
        <f t="shared" si="7"/>
        <v>0</v>
      </c>
      <c r="J59" s="44">
        <f t="shared" si="3"/>
        <v>-2486957.98</v>
      </c>
      <c r="K59" s="44">
        <f t="shared" si="8"/>
        <v>2486957.98</v>
      </c>
      <c r="L59" s="44">
        <v>0</v>
      </c>
      <c r="M59" s="44">
        <f t="shared" si="10"/>
        <v>2486957.98</v>
      </c>
    </row>
    <row r="60" spans="1:13" s="32" customFormat="1" ht="20.100000000000001" customHeight="1" x14ac:dyDescent="0.25">
      <c r="A60" s="17">
        <v>15430</v>
      </c>
      <c r="B60" s="8" t="s">
        <v>123</v>
      </c>
      <c r="C60" s="44">
        <v>3730686</v>
      </c>
      <c r="D60" s="44">
        <f>-1865343-14343-1000+1000</f>
        <v>-1879686</v>
      </c>
      <c r="E60" s="44">
        <f t="shared" si="21"/>
        <v>1851000</v>
      </c>
      <c r="F60" s="44">
        <v>1851000</v>
      </c>
      <c r="G60" s="44">
        <f t="shared" si="2"/>
        <v>0</v>
      </c>
      <c r="H60" s="44">
        <f t="shared" si="6"/>
        <v>1851000</v>
      </c>
      <c r="I60" s="44">
        <f t="shared" si="7"/>
        <v>0</v>
      </c>
      <c r="J60" s="44">
        <f t="shared" si="3"/>
        <v>0</v>
      </c>
      <c r="K60" s="44">
        <f t="shared" si="8"/>
        <v>1851000</v>
      </c>
      <c r="L60" s="44">
        <f t="shared" si="4"/>
        <v>1851000</v>
      </c>
      <c r="M60" s="44">
        <f t="shared" si="10"/>
        <v>0</v>
      </c>
    </row>
    <row r="61" spans="1:13" s="32" customFormat="1" ht="20.100000000000001" customHeight="1" x14ac:dyDescent="0.25">
      <c r="A61" s="17">
        <v>15431</v>
      </c>
      <c r="B61" s="8" t="s">
        <v>134</v>
      </c>
      <c r="C61" s="44">
        <v>0</v>
      </c>
      <c r="D61" s="44">
        <v>2098800</v>
      </c>
      <c r="E61" s="44">
        <f t="shared" si="21"/>
        <v>2098800</v>
      </c>
      <c r="F61" s="44">
        <v>2098800</v>
      </c>
      <c r="G61" s="44">
        <f t="shared" si="2"/>
        <v>0</v>
      </c>
      <c r="H61" s="44">
        <f t="shared" si="6"/>
        <v>2098800</v>
      </c>
      <c r="I61" s="44">
        <f t="shared" si="7"/>
        <v>0</v>
      </c>
      <c r="J61" s="44">
        <f t="shared" si="3"/>
        <v>0</v>
      </c>
      <c r="K61" s="44">
        <f t="shared" si="8"/>
        <v>2098800</v>
      </c>
      <c r="L61" s="44">
        <f t="shared" si="4"/>
        <v>2098800</v>
      </c>
      <c r="M61" s="44">
        <f t="shared" si="10"/>
        <v>0</v>
      </c>
    </row>
    <row r="62" spans="1:13" s="32" customFormat="1" ht="20.100000000000001" customHeight="1" x14ac:dyDescent="0.25">
      <c r="A62" s="17">
        <v>15432</v>
      </c>
      <c r="B62" s="8" t="s">
        <v>124</v>
      </c>
      <c r="C62" s="44">
        <v>0</v>
      </c>
      <c r="D62" s="44">
        <f>693651.58+693651.58-694678.28</f>
        <v>692624.87999999989</v>
      </c>
      <c r="E62" s="44">
        <f t="shared" si="21"/>
        <v>692624.87999999989</v>
      </c>
      <c r="F62" s="44">
        <v>692624.88</v>
      </c>
      <c r="G62" s="44">
        <f t="shared" si="2"/>
        <v>0</v>
      </c>
      <c r="H62" s="44">
        <f t="shared" si="6"/>
        <v>692624.88</v>
      </c>
      <c r="I62" s="44">
        <f t="shared" si="7"/>
        <v>0</v>
      </c>
      <c r="J62" s="44">
        <f t="shared" si="3"/>
        <v>0</v>
      </c>
      <c r="K62" s="44">
        <f t="shared" si="8"/>
        <v>692624.88</v>
      </c>
      <c r="L62" s="44">
        <f t="shared" si="4"/>
        <v>692624.88</v>
      </c>
      <c r="M62" s="44">
        <f t="shared" si="10"/>
        <v>0</v>
      </c>
    </row>
    <row r="63" spans="1:13" s="32" customFormat="1" ht="20.100000000000001" customHeight="1" x14ac:dyDescent="0.25">
      <c r="A63" s="17">
        <v>15433</v>
      </c>
      <c r="B63" s="8" t="s">
        <v>145</v>
      </c>
      <c r="C63" s="44">
        <v>593834</v>
      </c>
      <c r="D63" s="44">
        <v>5212166</v>
      </c>
      <c r="E63" s="44">
        <f t="shared" si="21"/>
        <v>5806000</v>
      </c>
      <c r="F63" s="44">
        <v>5806000</v>
      </c>
      <c r="G63" s="44">
        <f t="shared" si="2"/>
        <v>0</v>
      </c>
      <c r="H63" s="44">
        <f t="shared" si="6"/>
        <v>5806000</v>
      </c>
      <c r="I63" s="44">
        <f t="shared" si="7"/>
        <v>0</v>
      </c>
      <c r="J63" s="44">
        <f t="shared" si="3"/>
        <v>0</v>
      </c>
      <c r="K63" s="44">
        <f t="shared" si="8"/>
        <v>5806000</v>
      </c>
      <c r="L63" s="44">
        <v>0</v>
      </c>
      <c r="M63" s="44">
        <f t="shared" si="10"/>
        <v>5806000</v>
      </c>
    </row>
    <row r="64" spans="1:13" s="32" customFormat="1" ht="20.100000000000001" customHeight="1" x14ac:dyDescent="0.25">
      <c r="A64" s="17">
        <v>15434</v>
      </c>
      <c r="B64" s="8" t="s">
        <v>128</v>
      </c>
      <c r="C64" s="44">
        <v>24942558</v>
      </c>
      <c r="D64" s="44">
        <f>-12471279-7685318.24</f>
        <v>-20156597.240000002</v>
      </c>
      <c r="E64" s="44">
        <f t="shared" si="21"/>
        <v>4785960.7599999979</v>
      </c>
      <c r="F64" s="44">
        <v>29064289.850000001</v>
      </c>
      <c r="G64" s="44">
        <f t="shared" si="2"/>
        <v>-24278329.090000004</v>
      </c>
      <c r="H64" s="44">
        <f t="shared" si="6"/>
        <v>29064289.850000001</v>
      </c>
      <c r="I64" s="44">
        <f t="shared" si="7"/>
        <v>0</v>
      </c>
      <c r="J64" s="44">
        <f t="shared" si="3"/>
        <v>-24278329.090000004</v>
      </c>
      <c r="K64" s="44">
        <f t="shared" si="8"/>
        <v>29064289.850000001</v>
      </c>
      <c r="L64" s="44">
        <v>0</v>
      </c>
      <c r="M64" s="44">
        <f t="shared" si="10"/>
        <v>29064289.850000001</v>
      </c>
    </row>
    <row r="65" spans="1:13" s="32" customFormat="1" ht="20.100000000000001" customHeight="1" x14ac:dyDescent="0.25">
      <c r="A65" s="17">
        <v>15901</v>
      </c>
      <c r="B65" s="8" t="s">
        <v>131</v>
      </c>
      <c r="C65" s="44">
        <v>1130</v>
      </c>
      <c r="D65" s="44">
        <f>-565+565+818220.15+1635310.3-1636440.3</f>
        <v>817090.15000000014</v>
      </c>
      <c r="E65" s="44">
        <f>C65+D65</f>
        <v>818220.15000000014</v>
      </c>
      <c r="F65" s="44">
        <v>818220.15</v>
      </c>
      <c r="G65" s="44">
        <f t="shared" si="2"/>
        <v>0</v>
      </c>
      <c r="H65" s="44">
        <f t="shared" si="6"/>
        <v>818220.15</v>
      </c>
      <c r="I65" s="44">
        <f t="shared" si="7"/>
        <v>0</v>
      </c>
      <c r="J65" s="44">
        <f t="shared" si="3"/>
        <v>0</v>
      </c>
      <c r="K65" s="44">
        <f t="shared" si="8"/>
        <v>818220.15</v>
      </c>
      <c r="L65" s="44">
        <f t="shared" si="4"/>
        <v>818220.15</v>
      </c>
      <c r="M65" s="44">
        <f t="shared" si="10"/>
        <v>0</v>
      </c>
    </row>
    <row r="66" spans="1:13" s="32" customFormat="1" ht="20.100000000000001" customHeight="1" x14ac:dyDescent="0.25">
      <c r="A66" s="17">
        <v>15906</v>
      </c>
      <c r="B66" s="8" t="s">
        <v>135</v>
      </c>
      <c r="C66" s="44">
        <v>2641640</v>
      </c>
      <c r="D66" s="44">
        <v>-1320820</v>
      </c>
      <c r="E66" s="44">
        <f t="shared" si="21"/>
        <v>1320820</v>
      </c>
      <c r="F66" s="44">
        <v>5588801.7599999998</v>
      </c>
      <c r="G66" s="44">
        <f t="shared" si="2"/>
        <v>-4267981.76</v>
      </c>
      <c r="H66" s="44">
        <f t="shared" si="6"/>
        <v>5588801.7599999998</v>
      </c>
      <c r="I66" s="44">
        <f t="shared" si="7"/>
        <v>0</v>
      </c>
      <c r="J66" s="44">
        <f t="shared" si="3"/>
        <v>-4267981.76</v>
      </c>
      <c r="K66" s="44">
        <f t="shared" si="8"/>
        <v>5588801.7599999998</v>
      </c>
      <c r="L66" s="44">
        <v>0</v>
      </c>
      <c r="M66" s="44">
        <f t="shared" si="10"/>
        <v>5588801.7599999998</v>
      </c>
    </row>
    <row r="67" spans="1:13" s="72" customFormat="1" ht="21.95" customHeight="1" x14ac:dyDescent="0.25">
      <c r="A67" s="65">
        <v>1700</v>
      </c>
      <c r="B67" s="71" t="s">
        <v>198</v>
      </c>
      <c r="C67" s="64">
        <f t="shared" ref="C67:M67" si="22">SUM(C68:C72)</f>
        <v>25046120</v>
      </c>
      <c r="D67" s="64">
        <f t="shared" si="22"/>
        <v>14385650.65</v>
      </c>
      <c r="E67" s="64">
        <f t="shared" si="22"/>
        <v>39431770.649999999</v>
      </c>
      <c r="F67" s="64">
        <f t="shared" si="22"/>
        <v>39431770.649999999</v>
      </c>
      <c r="G67" s="64">
        <f t="shared" si="22"/>
        <v>0</v>
      </c>
      <c r="H67" s="64">
        <f t="shared" si="22"/>
        <v>39431770.649999999</v>
      </c>
      <c r="I67" s="64">
        <f t="shared" si="22"/>
        <v>0</v>
      </c>
      <c r="J67" s="64">
        <f t="shared" si="22"/>
        <v>0</v>
      </c>
      <c r="K67" s="64">
        <f t="shared" si="22"/>
        <v>39431770.649999999</v>
      </c>
      <c r="L67" s="64">
        <f t="shared" si="22"/>
        <v>38912865.649999999</v>
      </c>
      <c r="M67" s="64">
        <f t="shared" si="22"/>
        <v>518905</v>
      </c>
    </row>
    <row r="68" spans="1:13" s="32" customFormat="1" ht="20.100000000000001" customHeight="1" x14ac:dyDescent="0.25">
      <c r="A68" s="17">
        <v>17101</v>
      </c>
      <c r="B68" s="8" t="s">
        <v>44</v>
      </c>
      <c r="C68" s="44">
        <v>25046120</v>
      </c>
      <c r="D68" s="44">
        <f>5468271.04-3338595.55+467894.5+467894.5+4869039.51</f>
        <v>7934504</v>
      </c>
      <c r="E68" s="44">
        <f t="shared" ref="E68:E72" si="23">C68+D68</f>
        <v>32980624</v>
      </c>
      <c r="F68" s="44">
        <v>32980624</v>
      </c>
      <c r="G68" s="44">
        <f t="shared" si="2"/>
        <v>0</v>
      </c>
      <c r="H68" s="44">
        <f t="shared" si="6"/>
        <v>32980624</v>
      </c>
      <c r="I68" s="44">
        <f t="shared" si="7"/>
        <v>0</v>
      </c>
      <c r="J68" s="44">
        <f t="shared" si="3"/>
        <v>0</v>
      </c>
      <c r="K68" s="44">
        <f t="shared" si="8"/>
        <v>32980624</v>
      </c>
      <c r="L68" s="44">
        <f t="shared" si="4"/>
        <v>32980624</v>
      </c>
      <c r="M68" s="44">
        <f t="shared" si="10"/>
        <v>0</v>
      </c>
    </row>
    <row r="69" spans="1:13" s="32" customFormat="1" ht="20.100000000000001" customHeight="1" x14ac:dyDescent="0.25">
      <c r="A69" s="17">
        <v>17102</v>
      </c>
      <c r="B69" s="8" t="s">
        <v>45</v>
      </c>
      <c r="C69" s="44">
        <v>0</v>
      </c>
      <c r="D69" s="44">
        <f>4435200+154150</f>
        <v>4589350</v>
      </c>
      <c r="E69" s="44">
        <f t="shared" si="23"/>
        <v>4589350</v>
      </c>
      <c r="F69" s="44">
        <v>4589350</v>
      </c>
      <c r="G69" s="44">
        <f t="shared" si="2"/>
        <v>0</v>
      </c>
      <c r="H69" s="44">
        <f t="shared" si="6"/>
        <v>4589350</v>
      </c>
      <c r="I69" s="44">
        <f t="shared" si="7"/>
        <v>0</v>
      </c>
      <c r="J69" s="44">
        <f t="shared" si="3"/>
        <v>0</v>
      </c>
      <c r="K69" s="44">
        <f t="shared" si="8"/>
        <v>4589350</v>
      </c>
      <c r="L69" s="44">
        <f t="shared" si="4"/>
        <v>4589350</v>
      </c>
      <c r="M69" s="44">
        <f t="shared" si="10"/>
        <v>0</v>
      </c>
    </row>
    <row r="70" spans="1:13" s="32" customFormat="1" ht="20.100000000000001" customHeight="1" x14ac:dyDescent="0.25">
      <c r="A70" s="17">
        <v>17104</v>
      </c>
      <c r="B70" s="8" t="s">
        <v>246</v>
      </c>
      <c r="C70" s="44">
        <v>0</v>
      </c>
      <c r="D70" s="44">
        <v>1037810</v>
      </c>
      <c r="E70" s="44">
        <f t="shared" ref="E70" si="24">C70+D70</f>
        <v>1037810</v>
      </c>
      <c r="F70" s="44">
        <v>1037810</v>
      </c>
      <c r="G70" s="44">
        <f t="shared" ref="G70" si="25">E70-F70</f>
        <v>0</v>
      </c>
      <c r="H70" s="44">
        <f t="shared" ref="H70" si="26">F70</f>
        <v>1037810</v>
      </c>
      <c r="I70" s="44">
        <f t="shared" ref="I70" si="27">F70-H70</f>
        <v>0</v>
      </c>
      <c r="J70" s="44">
        <f t="shared" ref="J70" si="28">E70-H70</f>
        <v>0</v>
      </c>
      <c r="K70" s="44">
        <f t="shared" ref="K70" si="29">F70</f>
        <v>1037810</v>
      </c>
      <c r="L70" s="44">
        <f>518905</f>
        <v>518905</v>
      </c>
      <c r="M70" s="44">
        <v>518905</v>
      </c>
    </row>
    <row r="71" spans="1:13" s="32" customFormat="1" ht="20.100000000000001" customHeight="1" x14ac:dyDescent="0.25">
      <c r="A71" s="17">
        <v>17105</v>
      </c>
      <c r="B71" s="8" t="s">
        <v>136</v>
      </c>
      <c r="C71" s="44">
        <v>0</v>
      </c>
      <c r="D71" s="44">
        <f>518905+518905-1037810</f>
        <v>0</v>
      </c>
      <c r="E71" s="44">
        <f t="shared" si="23"/>
        <v>0</v>
      </c>
      <c r="F71" s="44">
        <v>0</v>
      </c>
      <c r="G71" s="44">
        <f t="shared" si="2"/>
        <v>0</v>
      </c>
      <c r="H71" s="44">
        <f t="shared" si="6"/>
        <v>0</v>
      </c>
      <c r="I71" s="44">
        <f t="shared" si="7"/>
        <v>0</v>
      </c>
      <c r="J71" s="44">
        <f t="shared" si="3"/>
        <v>0</v>
      </c>
      <c r="K71" s="44">
        <f t="shared" si="8"/>
        <v>0</v>
      </c>
      <c r="L71" s="44">
        <f t="shared" si="4"/>
        <v>0</v>
      </c>
      <c r="M71" s="44">
        <f t="shared" si="10"/>
        <v>0</v>
      </c>
    </row>
    <row r="72" spans="1:13" s="32" customFormat="1" ht="20.100000000000001" customHeight="1" x14ac:dyDescent="0.25">
      <c r="A72" s="17">
        <v>17106</v>
      </c>
      <c r="B72" s="8" t="s">
        <v>174</v>
      </c>
      <c r="C72" s="44">
        <v>0</v>
      </c>
      <c r="D72" s="44">
        <f>708193.3+115793.35</f>
        <v>823986.65</v>
      </c>
      <c r="E72" s="44">
        <f t="shared" si="23"/>
        <v>823986.65</v>
      </c>
      <c r="F72" s="44">
        <v>823986.65</v>
      </c>
      <c r="G72" s="44">
        <f t="shared" si="2"/>
        <v>0</v>
      </c>
      <c r="H72" s="44">
        <f t="shared" si="6"/>
        <v>823986.65</v>
      </c>
      <c r="I72" s="44">
        <f t="shared" si="7"/>
        <v>0</v>
      </c>
      <c r="J72" s="44">
        <f t="shared" si="3"/>
        <v>0</v>
      </c>
      <c r="K72" s="44">
        <f t="shared" si="8"/>
        <v>823986.65</v>
      </c>
      <c r="L72" s="44">
        <f t="shared" si="4"/>
        <v>823986.65</v>
      </c>
      <c r="M72" s="44">
        <f t="shared" si="10"/>
        <v>0</v>
      </c>
    </row>
    <row r="73" spans="1:13" s="32" customFormat="1" ht="15.75" thickBot="1" x14ac:dyDescent="0.3">
      <c r="A73" s="74"/>
      <c r="B73" s="75"/>
      <c r="C73" s="46"/>
      <c r="D73" s="46"/>
      <c r="E73" s="46"/>
      <c r="F73" s="46"/>
      <c r="G73" s="46"/>
      <c r="H73" s="46">
        <f t="shared" si="6"/>
        <v>0</v>
      </c>
      <c r="I73" s="46">
        <f t="shared" si="7"/>
        <v>0</v>
      </c>
      <c r="J73" s="46"/>
      <c r="K73" s="46">
        <f t="shared" si="8"/>
        <v>0</v>
      </c>
      <c r="L73" s="46">
        <f t="shared" si="4"/>
        <v>0</v>
      </c>
      <c r="M73" s="46">
        <f t="shared" si="10"/>
        <v>0</v>
      </c>
    </row>
    <row r="74" spans="1:13" s="32" customFormat="1" ht="23.1" customHeight="1" thickBot="1" x14ac:dyDescent="0.3">
      <c r="A74" s="16"/>
      <c r="B74" s="16" t="s">
        <v>98</v>
      </c>
      <c r="C74" s="30">
        <f t="shared" ref="C74:M74" si="30">C9+C11+C13+C25+C34+C67</f>
        <v>1188552299</v>
      </c>
      <c r="D74" s="30">
        <f t="shared" si="30"/>
        <v>321455285.14999998</v>
      </c>
      <c r="E74" s="30">
        <f t="shared" si="30"/>
        <v>1510007584.1500001</v>
      </c>
      <c r="F74" s="30">
        <f t="shared" si="30"/>
        <v>1640605502.5700002</v>
      </c>
      <c r="G74" s="30">
        <f t="shared" si="30"/>
        <v>-130597918.42</v>
      </c>
      <c r="H74" s="30">
        <f t="shared" si="30"/>
        <v>1640605502.5700002</v>
      </c>
      <c r="I74" s="30">
        <f t="shared" si="30"/>
        <v>0</v>
      </c>
      <c r="J74" s="30">
        <f t="shared" si="30"/>
        <v>-130597918.42</v>
      </c>
      <c r="K74" s="30">
        <f t="shared" si="30"/>
        <v>1640605502.5700002</v>
      </c>
      <c r="L74" s="30">
        <f t="shared" si="30"/>
        <v>1319208308.21</v>
      </c>
      <c r="M74" s="30">
        <f t="shared" si="30"/>
        <v>321397194.35999995</v>
      </c>
    </row>
    <row r="75" spans="1:13" s="32" customFormat="1" ht="18" customHeight="1" x14ac:dyDescent="0.25">
      <c r="A75" s="76"/>
      <c r="B75" s="76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48"/>
    </row>
    <row r="76" spans="1:13" s="32" customFormat="1" ht="21.95" customHeight="1" x14ac:dyDescent="0.25">
      <c r="A76" s="65">
        <v>2000</v>
      </c>
      <c r="B76" s="70" t="s">
        <v>18</v>
      </c>
      <c r="C76" s="44" t="s">
        <v>1</v>
      </c>
      <c r="D76" s="44"/>
      <c r="E76" s="44"/>
      <c r="F76" s="44"/>
      <c r="G76" s="44"/>
      <c r="H76" s="44"/>
      <c r="I76" s="44"/>
      <c r="J76" s="44"/>
      <c r="K76" s="44"/>
      <c r="L76" s="44">
        <f t="shared" ref="L76:L168" si="31">K76</f>
        <v>0</v>
      </c>
      <c r="M76" s="44">
        <f>H76-L76</f>
        <v>0</v>
      </c>
    </row>
    <row r="77" spans="1:13" s="72" customFormat="1" ht="28.5" customHeight="1" x14ac:dyDescent="0.25">
      <c r="A77" s="65">
        <v>2100</v>
      </c>
      <c r="B77" s="71" t="s">
        <v>202</v>
      </c>
      <c r="C77" s="64">
        <f>SUM(C78:C83)</f>
        <v>5575000</v>
      </c>
      <c r="D77" s="64">
        <f t="shared" ref="D77:M77" si="32">SUM(D78:D83)</f>
        <v>-897002.69</v>
      </c>
      <c r="E77" s="64">
        <f t="shared" si="32"/>
        <v>4677997.3099999996</v>
      </c>
      <c r="F77" s="64">
        <f t="shared" si="32"/>
        <v>4677997.3099999987</v>
      </c>
      <c r="G77" s="64">
        <f t="shared" si="32"/>
        <v>0</v>
      </c>
      <c r="H77" s="64">
        <f t="shared" si="32"/>
        <v>4677997.3099999987</v>
      </c>
      <c r="I77" s="64">
        <f t="shared" si="32"/>
        <v>0</v>
      </c>
      <c r="J77" s="64">
        <f t="shared" si="32"/>
        <v>0</v>
      </c>
      <c r="K77" s="64">
        <f t="shared" si="32"/>
        <v>4677997.3099999987</v>
      </c>
      <c r="L77" s="64">
        <f t="shared" si="32"/>
        <v>4677997.3099999987</v>
      </c>
      <c r="M77" s="64">
        <f t="shared" si="32"/>
        <v>0</v>
      </c>
    </row>
    <row r="78" spans="1:13" s="32" customFormat="1" ht="20.100000000000001" customHeight="1" x14ac:dyDescent="0.25">
      <c r="A78" s="17">
        <v>21101</v>
      </c>
      <c r="B78" s="8" t="s">
        <v>46</v>
      </c>
      <c r="C78" s="44">
        <v>2250000</v>
      </c>
      <c r="D78" s="44">
        <f>-500000-300000+400000-192370.37+358654.53</f>
        <v>-233715.83999999997</v>
      </c>
      <c r="E78" s="44">
        <f>C78+D78</f>
        <v>2016284.1600000001</v>
      </c>
      <c r="F78" s="44">
        <v>2016284.16</v>
      </c>
      <c r="G78" s="44">
        <f>E78-F78</f>
        <v>0</v>
      </c>
      <c r="H78" s="44">
        <f>F78</f>
        <v>2016284.16</v>
      </c>
      <c r="I78" s="44">
        <f>F78-H78</f>
        <v>0</v>
      </c>
      <c r="J78" s="44">
        <f>E78-H78</f>
        <v>0</v>
      </c>
      <c r="K78" s="44">
        <f>F78</f>
        <v>2016284.16</v>
      </c>
      <c r="L78" s="44">
        <f t="shared" si="31"/>
        <v>2016284.16</v>
      </c>
      <c r="M78" s="44">
        <f>H78-L78</f>
        <v>0</v>
      </c>
    </row>
    <row r="79" spans="1:13" s="32" customFormat="1" ht="20.100000000000001" customHeight="1" x14ac:dyDescent="0.25">
      <c r="A79" s="17">
        <v>21201</v>
      </c>
      <c r="B79" s="8" t="s">
        <v>146</v>
      </c>
      <c r="C79" s="44">
        <v>350000</v>
      </c>
      <c r="D79" s="44">
        <f>-37885.4-100000-49967.44+8476.5</f>
        <v>-179376.34</v>
      </c>
      <c r="E79" s="44">
        <f t="shared" ref="E79:E114" si="33">C79+D79</f>
        <v>170623.66</v>
      </c>
      <c r="F79" s="44">
        <v>170623.66</v>
      </c>
      <c r="G79" s="44">
        <f t="shared" ref="G79:G114" si="34">E79-F79</f>
        <v>0</v>
      </c>
      <c r="H79" s="44">
        <f>F79</f>
        <v>170623.66</v>
      </c>
      <c r="I79" s="44">
        <f>F79-H79</f>
        <v>0</v>
      </c>
      <c r="J79" s="44">
        <f t="shared" ref="J79:J114" si="35">E79-H79</f>
        <v>0</v>
      </c>
      <c r="K79" s="44">
        <f>F79</f>
        <v>170623.66</v>
      </c>
      <c r="L79" s="44">
        <f t="shared" si="31"/>
        <v>170623.66</v>
      </c>
      <c r="M79" s="44">
        <f>H79-L79</f>
        <v>0</v>
      </c>
    </row>
    <row r="80" spans="1:13" s="32" customFormat="1" ht="30" x14ac:dyDescent="0.25">
      <c r="A80" s="17">
        <v>21401</v>
      </c>
      <c r="B80" s="8" t="s">
        <v>47</v>
      </c>
      <c r="C80" s="44">
        <v>1500000</v>
      </c>
      <c r="D80" s="44">
        <f>-100000-200000-50000-239516.85+342802.48</f>
        <v>-246714.37</v>
      </c>
      <c r="E80" s="44">
        <f t="shared" si="33"/>
        <v>1253285.6299999999</v>
      </c>
      <c r="F80" s="44">
        <v>1253285.6299999999</v>
      </c>
      <c r="G80" s="44">
        <f t="shared" si="34"/>
        <v>0</v>
      </c>
      <c r="H80" s="44">
        <f t="shared" ref="H80:H114" si="36">F80</f>
        <v>1253285.6299999999</v>
      </c>
      <c r="I80" s="44">
        <f t="shared" ref="I80:I114" si="37">F80-H80</f>
        <v>0</v>
      </c>
      <c r="J80" s="44">
        <f t="shared" si="35"/>
        <v>0</v>
      </c>
      <c r="K80" s="44">
        <f t="shared" ref="K80:K114" si="38">F80</f>
        <v>1253285.6299999999</v>
      </c>
      <c r="L80" s="44">
        <f t="shared" si="31"/>
        <v>1253285.6299999999</v>
      </c>
      <c r="M80" s="44">
        <f t="shared" ref="M80:M114" si="39">H80-L80</f>
        <v>0</v>
      </c>
    </row>
    <row r="81" spans="1:13" s="32" customFormat="1" ht="20.100000000000001" customHeight="1" x14ac:dyDescent="0.25">
      <c r="A81" s="17">
        <v>21501</v>
      </c>
      <c r="B81" s="8" t="s">
        <v>48</v>
      </c>
      <c r="C81" s="44">
        <v>25000</v>
      </c>
      <c r="D81" s="44">
        <f>-12155.06-6140</f>
        <v>-18295.059999999998</v>
      </c>
      <c r="E81" s="44">
        <f t="shared" si="33"/>
        <v>6704.9400000000023</v>
      </c>
      <c r="F81" s="44">
        <v>6704.94</v>
      </c>
      <c r="G81" s="44">
        <f t="shared" si="34"/>
        <v>0</v>
      </c>
      <c r="H81" s="44">
        <f t="shared" si="36"/>
        <v>6704.94</v>
      </c>
      <c r="I81" s="44">
        <f t="shared" si="37"/>
        <v>0</v>
      </c>
      <c r="J81" s="44">
        <f t="shared" si="35"/>
        <v>0</v>
      </c>
      <c r="K81" s="44">
        <f t="shared" si="38"/>
        <v>6704.94</v>
      </c>
      <c r="L81" s="44">
        <f t="shared" si="31"/>
        <v>6704.94</v>
      </c>
      <c r="M81" s="44">
        <f t="shared" si="39"/>
        <v>0</v>
      </c>
    </row>
    <row r="82" spans="1:13" s="32" customFormat="1" ht="20.100000000000001" customHeight="1" x14ac:dyDescent="0.25">
      <c r="A82" s="17">
        <v>21601</v>
      </c>
      <c r="B82" s="8" t="s">
        <v>49</v>
      </c>
      <c r="C82" s="44">
        <v>900000</v>
      </c>
      <c r="D82" s="44">
        <f>300000-200000+200000-9926.6</f>
        <v>290073.40000000002</v>
      </c>
      <c r="E82" s="44">
        <f t="shared" si="33"/>
        <v>1190073.3999999999</v>
      </c>
      <c r="F82" s="44">
        <v>1190073.3999999999</v>
      </c>
      <c r="G82" s="44">
        <f t="shared" si="34"/>
        <v>0</v>
      </c>
      <c r="H82" s="44">
        <f t="shared" si="36"/>
        <v>1190073.3999999999</v>
      </c>
      <c r="I82" s="44">
        <f t="shared" si="37"/>
        <v>0</v>
      </c>
      <c r="J82" s="44">
        <f t="shared" si="35"/>
        <v>0</v>
      </c>
      <c r="K82" s="44">
        <f t="shared" si="38"/>
        <v>1190073.3999999999</v>
      </c>
      <c r="L82" s="44">
        <f t="shared" si="31"/>
        <v>1190073.3999999999</v>
      </c>
      <c r="M82" s="44">
        <f t="shared" si="39"/>
        <v>0</v>
      </c>
    </row>
    <row r="83" spans="1:13" s="32" customFormat="1" ht="30" x14ac:dyDescent="0.25">
      <c r="A83" s="17">
        <v>21701</v>
      </c>
      <c r="B83" s="8" t="s">
        <v>50</v>
      </c>
      <c r="C83" s="44">
        <v>550000</v>
      </c>
      <c r="D83" s="44">
        <f>-200000-70000-230000+23243.6-32218.08</f>
        <v>-508974.48000000004</v>
      </c>
      <c r="E83" s="44">
        <f t="shared" si="33"/>
        <v>41025.51999999996</v>
      </c>
      <c r="F83" s="44">
        <v>41025.519999999997</v>
      </c>
      <c r="G83" s="44">
        <f t="shared" si="34"/>
        <v>0</v>
      </c>
      <c r="H83" s="44">
        <f t="shared" si="36"/>
        <v>41025.519999999997</v>
      </c>
      <c r="I83" s="44">
        <f t="shared" si="37"/>
        <v>0</v>
      </c>
      <c r="J83" s="44">
        <f t="shared" si="35"/>
        <v>0</v>
      </c>
      <c r="K83" s="44">
        <f t="shared" si="38"/>
        <v>41025.519999999997</v>
      </c>
      <c r="L83" s="44">
        <f t="shared" si="31"/>
        <v>41025.519999999997</v>
      </c>
      <c r="M83" s="44">
        <f t="shared" si="39"/>
        <v>0</v>
      </c>
    </row>
    <row r="84" spans="1:13" s="72" customFormat="1" ht="21.95" customHeight="1" x14ac:dyDescent="0.25">
      <c r="A84" s="65">
        <v>2200</v>
      </c>
      <c r="B84" s="71" t="s">
        <v>199</v>
      </c>
      <c r="C84" s="64">
        <f>SUM(C85:C86)</f>
        <v>805000</v>
      </c>
      <c r="D84" s="64">
        <f t="shared" ref="D84:M84" si="40">SUM(D85:D86)</f>
        <v>-371460.77</v>
      </c>
      <c r="E84" s="64">
        <f t="shared" si="40"/>
        <v>433539.23</v>
      </c>
      <c r="F84" s="64">
        <f t="shared" si="40"/>
        <v>433539.23000000004</v>
      </c>
      <c r="G84" s="64">
        <f t="shared" si="40"/>
        <v>0</v>
      </c>
      <c r="H84" s="64">
        <f t="shared" si="40"/>
        <v>433539.23000000004</v>
      </c>
      <c r="I84" s="64">
        <f t="shared" si="40"/>
        <v>0</v>
      </c>
      <c r="J84" s="64">
        <f t="shared" si="40"/>
        <v>0</v>
      </c>
      <c r="K84" s="64">
        <f t="shared" si="40"/>
        <v>433539.23000000004</v>
      </c>
      <c r="L84" s="64">
        <f t="shared" si="40"/>
        <v>433539.23000000004</v>
      </c>
      <c r="M84" s="64">
        <f t="shared" si="40"/>
        <v>0</v>
      </c>
    </row>
    <row r="85" spans="1:13" s="32" customFormat="1" ht="30" x14ac:dyDescent="0.25">
      <c r="A85" s="17">
        <v>22104</v>
      </c>
      <c r="B85" s="8" t="s">
        <v>51</v>
      </c>
      <c r="C85" s="44">
        <v>730000</v>
      </c>
      <c r="D85" s="44">
        <f>-200000+40000-150000-6625.86</f>
        <v>-316625.86</v>
      </c>
      <c r="E85" s="44">
        <f t="shared" si="33"/>
        <v>413374.14</v>
      </c>
      <c r="F85" s="44">
        <v>413374.14</v>
      </c>
      <c r="G85" s="44">
        <f t="shared" si="34"/>
        <v>0</v>
      </c>
      <c r="H85" s="44">
        <f t="shared" si="36"/>
        <v>413374.14</v>
      </c>
      <c r="I85" s="44">
        <f t="shared" si="37"/>
        <v>0</v>
      </c>
      <c r="J85" s="44">
        <f t="shared" si="35"/>
        <v>0</v>
      </c>
      <c r="K85" s="44">
        <f t="shared" si="38"/>
        <v>413374.14</v>
      </c>
      <c r="L85" s="44">
        <f t="shared" si="31"/>
        <v>413374.14</v>
      </c>
      <c r="M85" s="44">
        <f t="shared" si="39"/>
        <v>0</v>
      </c>
    </row>
    <row r="86" spans="1:13" s="32" customFormat="1" ht="20.100000000000001" customHeight="1" x14ac:dyDescent="0.25">
      <c r="A86" s="17">
        <v>22301</v>
      </c>
      <c r="B86" s="8" t="s">
        <v>147</v>
      </c>
      <c r="C86" s="44">
        <v>75000</v>
      </c>
      <c r="D86" s="44">
        <f>-10000-24450.16-20384.75</f>
        <v>-54834.91</v>
      </c>
      <c r="E86" s="44">
        <f t="shared" si="33"/>
        <v>20165.089999999997</v>
      </c>
      <c r="F86" s="44">
        <v>20165.09</v>
      </c>
      <c r="G86" s="44">
        <f t="shared" si="34"/>
        <v>0</v>
      </c>
      <c r="H86" s="44">
        <f t="shared" si="36"/>
        <v>20165.09</v>
      </c>
      <c r="I86" s="44">
        <f t="shared" si="37"/>
        <v>0</v>
      </c>
      <c r="J86" s="44">
        <f t="shared" si="35"/>
        <v>0</v>
      </c>
      <c r="K86" s="44">
        <f t="shared" si="38"/>
        <v>20165.09</v>
      </c>
      <c r="L86" s="44">
        <f t="shared" si="31"/>
        <v>20165.09</v>
      </c>
      <c r="M86" s="44">
        <f t="shared" si="39"/>
        <v>0</v>
      </c>
    </row>
    <row r="87" spans="1:13" s="72" customFormat="1" ht="27.75" customHeight="1" x14ac:dyDescent="0.25">
      <c r="A87" s="65">
        <v>2400</v>
      </c>
      <c r="B87" s="71" t="s">
        <v>200</v>
      </c>
      <c r="C87" s="64">
        <f>SUM(C88:C96)</f>
        <v>4260000</v>
      </c>
      <c r="D87" s="64">
        <f t="shared" ref="D87:M87" si="41">SUM(D88:D96)</f>
        <v>2269972.7599999998</v>
      </c>
      <c r="E87" s="64">
        <f t="shared" si="41"/>
        <v>6529972.7599999998</v>
      </c>
      <c r="F87" s="64">
        <f t="shared" si="41"/>
        <v>6294115.3100000005</v>
      </c>
      <c r="G87" s="64">
        <f t="shared" si="41"/>
        <v>235857.45000000019</v>
      </c>
      <c r="H87" s="64">
        <f t="shared" si="41"/>
        <v>6294115.3100000005</v>
      </c>
      <c r="I87" s="64">
        <f t="shared" si="41"/>
        <v>0</v>
      </c>
      <c r="J87" s="64">
        <f t="shared" si="41"/>
        <v>235857.45000000019</v>
      </c>
      <c r="K87" s="64">
        <f t="shared" si="41"/>
        <v>6294115.3100000005</v>
      </c>
      <c r="L87" s="64">
        <f t="shared" si="41"/>
        <v>6058257.8600000003</v>
      </c>
      <c r="M87" s="64">
        <f t="shared" si="41"/>
        <v>235857.45</v>
      </c>
    </row>
    <row r="88" spans="1:13" s="32" customFormat="1" ht="20.100000000000001" customHeight="1" x14ac:dyDescent="0.25">
      <c r="A88" s="17">
        <v>24101</v>
      </c>
      <c r="B88" s="8" t="s">
        <v>137</v>
      </c>
      <c r="C88" s="44">
        <v>75000</v>
      </c>
      <c r="D88" s="44">
        <f>26000-25000+107743.99</f>
        <v>108743.99</v>
      </c>
      <c r="E88" s="44">
        <f t="shared" si="33"/>
        <v>183743.99</v>
      </c>
      <c r="F88" s="44">
        <v>183743.99</v>
      </c>
      <c r="G88" s="44">
        <f t="shared" si="34"/>
        <v>0</v>
      </c>
      <c r="H88" s="44">
        <f t="shared" si="36"/>
        <v>183743.99</v>
      </c>
      <c r="I88" s="44">
        <f t="shared" si="37"/>
        <v>0</v>
      </c>
      <c r="J88" s="44">
        <f t="shared" si="35"/>
        <v>0</v>
      </c>
      <c r="K88" s="44">
        <f t="shared" si="38"/>
        <v>183743.99</v>
      </c>
      <c r="L88" s="44">
        <f t="shared" si="31"/>
        <v>183743.99</v>
      </c>
      <c r="M88" s="44">
        <f t="shared" si="39"/>
        <v>0</v>
      </c>
    </row>
    <row r="89" spans="1:13" s="32" customFormat="1" ht="20.100000000000001" customHeight="1" x14ac:dyDescent="0.25">
      <c r="A89" s="17">
        <v>24201</v>
      </c>
      <c r="B89" s="8" t="s">
        <v>162</v>
      </c>
      <c r="C89" s="44">
        <v>200000</v>
      </c>
      <c r="D89" s="44">
        <f>-60000+200000+50000-68852.88</f>
        <v>121147.12</v>
      </c>
      <c r="E89" s="44">
        <f t="shared" si="33"/>
        <v>321147.12</v>
      </c>
      <c r="F89" s="44">
        <v>321147.12</v>
      </c>
      <c r="G89" s="44">
        <f t="shared" si="34"/>
        <v>0</v>
      </c>
      <c r="H89" s="44">
        <f t="shared" si="36"/>
        <v>321147.12</v>
      </c>
      <c r="I89" s="44">
        <f t="shared" si="37"/>
        <v>0</v>
      </c>
      <c r="J89" s="44">
        <f t="shared" si="35"/>
        <v>0</v>
      </c>
      <c r="K89" s="44">
        <f t="shared" si="38"/>
        <v>321147.12</v>
      </c>
      <c r="L89" s="44">
        <f t="shared" si="31"/>
        <v>321147.12</v>
      </c>
      <c r="M89" s="44">
        <f t="shared" si="39"/>
        <v>0</v>
      </c>
    </row>
    <row r="90" spans="1:13" s="32" customFormat="1" ht="20.100000000000001" customHeight="1" x14ac:dyDescent="0.25">
      <c r="A90" s="17">
        <v>24301</v>
      </c>
      <c r="B90" s="8" t="s">
        <v>148</v>
      </c>
      <c r="C90" s="44">
        <v>15000</v>
      </c>
      <c r="D90" s="44">
        <f>20000-5000-6095.62</f>
        <v>8904.380000000001</v>
      </c>
      <c r="E90" s="44">
        <f t="shared" si="33"/>
        <v>23904.38</v>
      </c>
      <c r="F90" s="44">
        <v>23904.38</v>
      </c>
      <c r="G90" s="44">
        <f t="shared" si="34"/>
        <v>0</v>
      </c>
      <c r="H90" s="44">
        <f t="shared" si="36"/>
        <v>23904.38</v>
      </c>
      <c r="I90" s="44">
        <f t="shared" si="37"/>
        <v>0</v>
      </c>
      <c r="J90" s="44">
        <f t="shared" si="35"/>
        <v>0</v>
      </c>
      <c r="K90" s="44">
        <f t="shared" si="38"/>
        <v>23904.38</v>
      </c>
      <c r="L90" s="44">
        <f t="shared" si="31"/>
        <v>23904.38</v>
      </c>
      <c r="M90" s="44">
        <f t="shared" si="39"/>
        <v>0</v>
      </c>
    </row>
    <row r="91" spans="1:13" s="32" customFormat="1" ht="20.100000000000001" customHeight="1" x14ac:dyDescent="0.25">
      <c r="A91" s="17">
        <v>24401</v>
      </c>
      <c r="B91" s="8" t="s">
        <v>138</v>
      </c>
      <c r="C91" s="44">
        <v>20000</v>
      </c>
      <c r="D91" s="44">
        <f>-5000+20345.01</f>
        <v>15345.009999999998</v>
      </c>
      <c r="E91" s="44">
        <f t="shared" si="33"/>
        <v>35345.009999999995</v>
      </c>
      <c r="F91" s="44">
        <v>35345.01</v>
      </c>
      <c r="G91" s="44">
        <f t="shared" si="34"/>
        <v>0</v>
      </c>
      <c r="H91" s="44">
        <f t="shared" si="36"/>
        <v>35345.01</v>
      </c>
      <c r="I91" s="44">
        <f t="shared" si="37"/>
        <v>0</v>
      </c>
      <c r="J91" s="44">
        <f t="shared" si="35"/>
        <v>0</v>
      </c>
      <c r="K91" s="44">
        <f t="shared" si="38"/>
        <v>35345.01</v>
      </c>
      <c r="L91" s="44">
        <f t="shared" si="31"/>
        <v>35345.01</v>
      </c>
      <c r="M91" s="44">
        <f t="shared" si="39"/>
        <v>0</v>
      </c>
    </row>
    <row r="92" spans="1:13" s="32" customFormat="1" ht="20.100000000000001" customHeight="1" x14ac:dyDescent="0.25">
      <c r="A92" s="17">
        <v>24501</v>
      </c>
      <c r="B92" s="8" t="s">
        <v>223</v>
      </c>
      <c r="C92" s="44">
        <v>0</v>
      </c>
      <c r="D92" s="44">
        <f>50000-42629.8</f>
        <v>7370.1999999999971</v>
      </c>
      <c r="E92" s="44">
        <f t="shared" si="33"/>
        <v>7370.1999999999971</v>
      </c>
      <c r="F92" s="44">
        <v>7370.2</v>
      </c>
      <c r="G92" s="44">
        <f t="shared" si="34"/>
        <v>0</v>
      </c>
      <c r="H92" s="44">
        <f t="shared" si="36"/>
        <v>7370.2</v>
      </c>
      <c r="I92" s="44">
        <f t="shared" si="37"/>
        <v>0</v>
      </c>
      <c r="J92" s="44">
        <f t="shared" si="35"/>
        <v>0</v>
      </c>
      <c r="K92" s="44">
        <f t="shared" si="38"/>
        <v>7370.2</v>
      </c>
      <c r="L92" s="44">
        <f t="shared" si="31"/>
        <v>7370.2</v>
      </c>
      <c r="M92" s="44">
        <f t="shared" si="39"/>
        <v>0</v>
      </c>
    </row>
    <row r="93" spans="1:13" s="32" customFormat="1" ht="20.100000000000001" customHeight="1" x14ac:dyDescent="0.25">
      <c r="A93" s="17">
        <v>24601</v>
      </c>
      <c r="B93" s="8" t="s">
        <v>52</v>
      </c>
      <c r="C93" s="44">
        <v>750000</v>
      </c>
      <c r="D93" s="44">
        <f>-150000+100000-20000+744250.04</f>
        <v>674250.04</v>
      </c>
      <c r="E93" s="44">
        <f t="shared" si="33"/>
        <v>1424250.04</v>
      </c>
      <c r="F93" s="44">
        <v>1424250.04</v>
      </c>
      <c r="G93" s="44">
        <f t="shared" si="34"/>
        <v>0</v>
      </c>
      <c r="H93" s="44">
        <f t="shared" si="36"/>
        <v>1424250.04</v>
      </c>
      <c r="I93" s="44">
        <f t="shared" si="37"/>
        <v>0</v>
      </c>
      <c r="J93" s="44">
        <f t="shared" si="35"/>
        <v>0</v>
      </c>
      <c r="K93" s="44">
        <f t="shared" si="38"/>
        <v>1424250.04</v>
      </c>
      <c r="L93" s="44">
        <f t="shared" si="31"/>
        <v>1424250.04</v>
      </c>
      <c r="M93" s="44">
        <f t="shared" si="39"/>
        <v>0</v>
      </c>
    </row>
    <row r="94" spans="1:13" s="32" customFormat="1" ht="20.100000000000001" customHeight="1" x14ac:dyDescent="0.25">
      <c r="A94" s="17">
        <v>24701</v>
      </c>
      <c r="B94" s="8" t="s">
        <v>221</v>
      </c>
      <c r="C94" s="44">
        <v>500000</v>
      </c>
      <c r="D94" s="44">
        <f>-100000-150000+100000-80000.21+335023.36</f>
        <v>105023.14999999997</v>
      </c>
      <c r="E94" s="44">
        <f t="shared" si="33"/>
        <v>605023.14999999991</v>
      </c>
      <c r="F94" s="44">
        <v>605023.15</v>
      </c>
      <c r="G94" s="44">
        <f t="shared" si="34"/>
        <v>0</v>
      </c>
      <c r="H94" s="44">
        <f t="shared" si="36"/>
        <v>605023.15</v>
      </c>
      <c r="I94" s="44">
        <f t="shared" si="37"/>
        <v>0</v>
      </c>
      <c r="J94" s="44">
        <f t="shared" si="35"/>
        <v>0</v>
      </c>
      <c r="K94" s="44">
        <f t="shared" si="38"/>
        <v>605023.15</v>
      </c>
      <c r="L94" s="44">
        <f t="shared" si="31"/>
        <v>605023.15</v>
      </c>
      <c r="M94" s="44">
        <f t="shared" si="39"/>
        <v>0</v>
      </c>
    </row>
    <row r="95" spans="1:13" s="32" customFormat="1" ht="20.100000000000001" customHeight="1" x14ac:dyDescent="0.25">
      <c r="A95" s="17">
        <v>24801</v>
      </c>
      <c r="B95" s="8" t="s">
        <v>53</v>
      </c>
      <c r="C95" s="44">
        <v>700000</v>
      </c>
      <c r="D95" s="44">
        <f>-200000-200000+150000-20910.6+43724.47</f>
        <v>-227186.12999999998</v>
      </c>
      <c r="E95" s="44">
        <f t="shared" si="33"/>
        <v>472813.87</v>
      </c>
      <c r="F95" s="44">
        <v>472813.87</v>
      </c>
      <c r="G95" s="44">
        <f t="shared" si="34"/>
        <v>0</v>
      </c>
      <c r="H95" s="44">
        <f t="shared" si="36"/>
        <v>472813.87</v>
      </c>
      <c r="I95" s="44">
        <f t="shared" si="37"/>
        <v>0</v>
      </c>
      <c r="J95" s="44">
        <f t="shared" si="35"/>
        <v>0</v>
      </c>
      <c r="K95" s="44">
        <f t="shared" si="38"/>
        <v>472813.87</v>
      </c>
      <c r="L95" s="44">
        <f t="shared" si="31"/>
        <v>472813.87</v>
      </c>
      <c r="M95" s="44">
        <f t="shared" si="39"/>
        <v>0</v>
      </c>
    </row>
    <row r="96" spans="1:13" s="32" customFormat="1" ht="28.5" customHeight="1" x14ac:dyDescent="0.25">
      <c r="A96" s="17">
        <v>24901</v>
      </c>
      <c r="B96" s="8" t="s">
        <v>54</v>
      </c>
      <c r="C96" s="44">
        <v>2000000</v>
      </c>
      <c r="D96" s="44">
        <v>1456375</v>
      </c>
      <c r="E96" s="44">
        <f t="shared" si="33"/>
        <v>3456375</v>
      </c>
      <c r="F96" s="44">
        <v>3220517.55</v>
      </c>
      <c r="G96" s="44">
        <f t="shared" si="34"/>
        <v>235857.45000000019</v>
      </c>
      <c r="H96" s="44">
        <f t="shared" si="36"/>
        <v>3220517.55</v>
      </c>
      <c r="I96" s="44">
        <f t="shared" si="37"/>
        <v>0</v>
      </c>
      <c r="J96" s="44">
        <f t="shared" si="35"/>
        <v>235857.45000000019</v>
      </c>
      <c r="K96" s="44">
        <f t="shared" si="38"/>
        <v>3220517.55</v>
      </c>
      <c r="L96" s="44">
        <f>1223934.56+746622.89+1014102.65</f>
        <v>2984660.1</v>
      </c>
      <c r="M96" s="44">
        <v>235857.45</v>
      </c>
    </row>
    <row r="97" spans="1:13" s="72" customFormat="1" ht="28.5" customHeight="1" x14ac:dyDescent="0.25">
      <c r="A97" s="65">
        <v>2500</v>
      </c>
      <c r="B97" s="71" t="s">
        <v>201</v>
      </c>
      <c r="C97" s="64">
        <f>SUM(C98:C104)</f>
        <v>895000</v>
      </c>
      <c r="D97" s="64">
        <f t="shared" ref="D97:M97" si="42">SUM(D98:D104)</f>
        <v>-95434.930000000022</v>
      </c>
      <c r="E97" s="64">
        <f>SUM(E98:E104)</f>
        <v>799565.07000000007</v>
      </c>
      <c r="F97" s="64">
        <f t="shared" si="42"/>
        <v>799565.07000000007</v>
      </c>
      <c r="G97" s="64">
        <f t="shared" si="42"/>
        <v>0</v>
      </c>
      <c r="H97" s="64">
        <f t="shared" si="42"/>
        <v>799565.07000000007</v>
      </c>
      <c r="I97" s="64">
        <f t="shared" si="42"/>
        <v>0</v>
      </c>
      <c r="J97" s="64">
        <f t="shared" si="42"/>
        <v>0</v>
      </c>
      <c r="K97" s="64">
        <f t="shared" si="42"/>
        <v>799565.07000000007</v>
      </c>
      <c r="L97" s="64">
        <f t="shared" si="42"/>
        <v>799565.07000000007</v>
      </c>
      <c r="M97" s="64">
        <f t="shared" si="42"/>
        <v>0</v>
      </c>
    </row>
    <row r="98" spans="1:13" s="32" customFormat="1" ht="20.100000000000001" customHeight="1" x14ac:dyDescent="0.25">
      <c r="A98" s="17">
        <v>25101</v>
      </c>
      <c r="B98" s="8" t="s">
        <v>55</v>
      </c>
      <c r="C98" s="44">
        <v>300000</v>
      </c>
      <c r="D98" s="44">
        <f>-100000+200000-48594.55-177725.38</f>
        <v>-126319.93000000001</v>
      </c>
      <c r="E98" s="44">
        <f t="shared" si="33"/>
        <v>173680.07</v>
      </c>
      <c r="F98" s="44">
        <v>173680.07</v>
      </c>
      <c r="G98" s="44">
        <f t="shared" si="34"/>
        <v>0</v>
      </c>
      <c r="H98" s="44">
        <f t="shared" si="36"/>
        <v>173680.07</v>
      </c>
      <c r="I98" s="44">
        <f t="shared" si="37"/>
        <v>0</v>
      </c>
      <c r="J98" s="44">
        <f t="shared" si="35"/>
        <v>0</v>
      </c>
      <c r="K98" s="44">
        <f t="shared" si="38"/>
        <v>173680.07</v>
      </c>
      <c r="L98" s="44">
        <f t="shared" si="31"/>
        <v>173680.07</v>
      </c>
      <c r="M98" s="44">
        <f t="shared" si="39"/>
        <v>0</v>
      </c>
    </row>
    <row r="99" spans="1:13" s="32" customFormat="1" ht="20.100000000000001" customHeight="1" x14ac:dyDescent="0.25">
      <c r="A99" s="17">
        <v>25201</v>
      </c>
      <c r="B99" s="8" t="s">
        <v>56</v>
      </c>
      <c r="C99" s="44">
        <v>10000</v>
      </c>
      <c r="D99" s="44">
        <f>20000+20000+10000-20000-12149.25</f>
        <v>17850.75</v>
      </c>
      <c r="E99" s="44">
        <f t="shared" si="33"/>
        <v>27850.75</v>
      </c>
      <c r="F99" s="44">
        <v>27850.75</v>
      </c>
      <c r="G99" s="44">
        <f t="shared" si="34"/>
        <v>0</v>
      </c>
      <c r="H99" s="44">
        <f t="shared" si="36"/>
        <v>27850.75</v>
      </c>
      <c r="I99" s="44">
        <f t="shared" si="37"/>
        <v>0</v>
      </c>
      <c r="J99" s="44">
        <f t="shared" si="35"/>
        <v>0</v>
      </c>
      <c r="K99" s="44">
        <f t="shared" si="38"/>
        <v>27850.75</v>
      </c>
      <c r="L99" s="44">
        <f t="shared" si="31"/>
        <v>27850.75</v>
      </c>
      <c r="M99" s="44">
        <f t="shared" si="39"/>
        <v>0</v>
      </c>
    </row>
    <row r="100" spans="1:13" s="32" customFormat="1" ht="20.100000000000001" customHeight="1" x14ac:dyDescent="0.25">
      <c r="A100" s="17">
        <v>25301</v>
      </c>
      <c r="B100" s="8" t="s">
        <v>57</v>
      </c>
      <c r="C100" s="44">
        <v>30000</v>
      </c>
      <c r="D100" s="44">
        <f>10000-15000+194.29</f>
        <v>-4805.71</v>
      </c>
      <c r="E100" s="44">
        <f t="shared" si="33"/>
        <v>25194.29</v>
      </c>
      <c r="F100" s="44">
        <v>25194.29</v>
      </c>
      <c r="G100" s="44">
        <f t="shared" si="34"/>
        <v>0</v>
      </c>
      <c r="H100" s="44">
        <f t="shared" si="36"/>
        <v>25194.29</v>
      </c>
      <c r="I100" s="44">
        <f t="shared" si="37"/>
        <v>0</v>
      </c>
      <c r="J100" s="44">
        <f t="shared" si="35"/>
        <v>0</v>
      </c>
      <c r="K100" s="44">
        <f t="shared" si="38"/>
        <v>25194.29</v>
      </c>
      <c r="L100" s="44">
        <f t="shared" si="31"/>
        <v>25194.29</v>
      </c>
      <c r="M100" s="44">
        <f t="shared" si="39"/>
        <v>0</v>
      </c>
    </row>
    <row r="101" spans="1:13" s="32" customFormat="1" ht="20.100000000000001" customHeight="1" x14ac:dyDescent="0.25">
      <c r="A101" s="17">
        <v>25401</v>
      </c>
      <c r="B101" s="8" t="s">
        <v>58</v>
      </c>
      <c r="C101" s="44">
        <v>55000</v>
      </c>
      <c r="D101" s="44">
        <f>50000+100000-41300.97-19827.73</f>
        <v>88871.3</v>
      </c>
      <c r="E101" s="44">
        <f t="shared" si="33"/>
        <v>143871.29999999999</v>
      </c>
      <c r="F101" s="44">
        <v>143871.29999999999</v>
      </c>
      <c r="G101" s="44">
        <f t="shared" si="34"/>
        <v>0</v>
      </c>
      <c r="H101" s="44">
        <f t="shared" si="36"/>
        <v>143871.29999999999</v>
      </c>
      <c r="I101" s="44">
        <f t="shared" si="37"/>
        <v>0</v>
      </c>
      <c r="J101" s="44">
        <f t="shared" si="35"/>
        <v>0</v>
      </c>
      <c r="K101" s="44">
        <f t="shared" si="38"/>
        <v>143871.29999999999</v>
      </c>
      <c r="L101" s="44">
        <f t="shared" si="31"/>
        <v>143871.29999999999</v>
      </c>
      <c r="M101" s="44">
        <f t="shared" si="39"/>
        <v>0</v>
      </c>
    </row>
    <row r="102" spans="1:13" s="32" customFormat="1" ht="30" x14ac:dyDescent="0.25">
      <c r="A102" s="17">
        <v>25501</v>
      </c>
      <c r="B102" s="8" t="s">
        <v>59</v>
      </c>
      <c r="C102" s="44">
        <v>500000</v>
      </c>
      <c r="D102" s="44">
        <f>-100000+200000-50000-49437-222682.56</f>
        <v>-222119.56</v>
      </c>
      <c r="E102" s="44">
        <f t="shared" ref="E102:E103" si="43">C102+D102</f>
        <v>277880.44</v>
      </c>
      <c r="F102" s="44">
        <v>277880.44</v>
      </c>
      <c r="G102" s="44">
        <f t="shared" ref="G102:G103" si="44">E102-F102</f>
        <v>0</v>
      </c>
      <c r="H102" s="44">
        <f t="shared" ref="H102:H103" si="45">F102</f>
        <v>277880.44</v>
      </c>
      <c r="I102" s="44">
        <f t="shared" ref="I102:I103" si="46">F102-H102</f>
        <v>0</v>
      </c>
      <c r="J102" s="44">
        <f t="shared" ref="J102:J103" si="47">E102-H102</f>
        <v>0</v>
      </c>
      <c r="K102" s="44">
        <f t="shared" ref="K102:K103" si="48">F102</f>
        <v>277880.44</v>
      </c>
      <c r="L102" s="44">
        <f t="shared" ref="L102:L103" si="49">K102</f>
        <v>277880.44</v>
      </c>
      <c r="M102" s="44">
        <f t="shared" ref="M102:M103" si="50">H102-L102</f>
        <v>0</v>
      </c>
    </row>
    <row r="103" spans="1:13" s="32" customFormat="1" ht="30" x14ac:dyDescent="0.25">
      <c r="A103" s="17">
        <v>25601</v>
      </c>
      <c r="B103" s="8" t="s">
        <v>230</v>
      </c>
      <c r="C103" s="44"/>
      <c r="D103" s="44">
        <f>30000+10000+80000-10000+30648.22</f>
        <v>140648.22</v>
      </c>
      <c r="E103" s="44">
        <f t="shared" si="43"/>
        <v>140648.22</v>
      </c>
      <c r="F103" s="44">
        <v>140648.22</v>
      </c>
      <c r="G103" s="44">
        <f t="shared" si="44"/>
        <v>0</v>
      </c>
      <c r="H103" s="44">
        <f t="shared" si="45"/>
        <v>140648.22</v>
      </c>
      <c r="I103" s="44">
        <f t="shared" si="46"/>
        <v>0</v>
      </c>
      <c r="J103" s="44">
        <f t="shared" si="47"/>
        <v>0</v>
      </c>
      <c r="K103" s="44">
        <f t="shared" si="48"/>
        <v>140648.22</v>
      </c>
      <c r="L103" s="44">
        <f t="shared" si="49"/>
        <v>140648.22</v>
      </c>
      <c r="M103" s="44">
        <f t="shared" si="50"/>
        <v>0</v>
      </c>
    </row>
    <row r="104" spans="1:13" s="32" customFormat="1" ht="20.100000000000001" customHeight="1" x14ac:dyDescent="0.25">
      <c r="A104" s="17">
        <v>25901</v>
      </c>
      <c r="B104" s="8" t="s">
        <v>241</v>
      </c>
      <c r="C104" s="44">
        <v>0</v>
      </c>
      <c r="D104" s="44">
        <v>10440</v>
      </c>
      <c r="E104" s="44">
        <f t="shared" si="33"/>
        <v>10440</v>
      </c>
      <c r="F104" s="44">
        <v>10440</v>
      </c>
      <c r="G104" s="44">
        <f t="shared" si="34"/>
        <v>0</v>
      </c>
      <c r="H104" s="44">
        <f t="shared" si="36"/>
        <v>10440</v>
      </c>
      <c r="I104" s="44">
        <f t="shared" si="37"/>
        <v>0</v>
      </c>
      <c r="J104" s="44">
        <f t="shared" si="35"/>
        <v>0</v>
      </c>
      <c r="K104" s="44">
        <f t="shared" si="38"/>
        <v>10440</v>
      </c>
      <c r="L104" s="44">
        <f t="shared" si="31"/>
        <v>10440</v>
      </c>
      <c r="M104" s="44">
        <f t="shared" si="39"/>
        <v>0</v>
      </c>
    </row>
    <row r="105" spans="1:13" s="72" customFormat="1" ht="21.95" customHeight="1" x14ac:dyDescent="0.25">
      <c r="A105" s="65">
        <v>2600</v>
      </c>
      <c r="B105" s="71" t="s">
        <v>203</v>
      </c>
      <c r="C105" s="64">
        <f>SUM(C106:C106)</f>
        <v>5000000</v>
      </c>
      <c r="D105" s="64">
        <f>SUM(D106:D106)</f>
        <v>-1034504.7899999999</v>
      </c>
      <c r="E105" s="64">
        <f>SUM(E106:E106)</f>
        <v>3965495.21</v>
      </c>
      <c r="F105" s="64">
        <f>SUM(F106:F106)</f>
        <v>3965495.21</v>
      </c>
      <c r="G105" s="64">
        <f t="shared" ref="G105:M105" si="51">G106</f>
        <v>0</v>
      </c>
      <c r="H105" s="64">
        <f t="shared" si="51"/>
        <v>3965495.21</v>
      </c>
      <c r="I105" s="64">
        <f t="shared" si="51"/>
        <v>0</v>
      </c>
      <c r="J105" s="64">
        <f t="shared" si="51"/>
        <v>0</v>
      </c>
      <c r="K105" s="64">
        <f t="shared" si="51"/>
        <v>3965495.21</v>
      </c>
      <c r="L105" s="64">
        <f t="shared" si="51"/>
        <v>3965495.21</v>
      </c>
      <c r="M105" s="64">
        <f t="shared" si="51"/>
        <v>0</v>
      </c>
    </row>
    <row r="106" spans="1:13" s="32" customFormat="1" ht="30" x14ac:dyDescent="0.25">
      <c r="A106" s="17">
        <v>26104</v>
      </c>
      <c r="B106" s="8" t="s">
        <v>141</v>
      </c>
      <c r="C106" s="44">
        <v>5000000</v>
      </c>
      <c r="D106" s="44">
        <f>-900000-700000+832283.58-650000+383211.63</f>
        <v>-1034504.7899999999</v>
      </c>
      <c r="E106" s="44">
        <f t="shared" si="33"/>
        <v>3965495.21</v>
      </c>
      <c r="F106" s="44">
        <v>3965495.21</v>
      </c>
      <c r="G106" s="44">
        <f t="shared" si="34"/>
        <v>0</v>
      </c>
      <c r="H106" s="44">
        <f t="shared" si="36"/>
        <v>3965495.21</v>
      </c>
      <c r="I106" s="44">
        <f t="shared" si="37"/>
        <v>0</v>
      </c>
      <c r="J106" s="44">
        <f t="shared" si="35"/>
        <v>0</v>
      </c>
      <c r="K106" s="44">
        <f t="shared" si="38"/>
        <v>3965495.21</v>
      </c>
      <c r="L106" s="44">
        <f t="shared" si="31"/>
        <v>3965495.21</v>
      </c>
      <c r="M106" s="44">
        <f t="shared" si="39"/>
        <v>0</v>
      </c>
    </row>
    <row r="107" spans="1:13" s="72" customFormat="1" ht="30" x14ac:dyDescent="0.25">
      <c r="A107" s="65">
        <v>2700</v>
      </c>
      <c r="B107" s="71" t="s">
        <v>204</v>
      </c>
      <c r="C107" s="64">
        <f>SUM(C108:C110)</f>
        <v>1665000</v>
      </c>
      <c r="D107" s="64">
        <f t="shared" ref="D107:M107" si="52">SUM(D108:D110)</f>
        <v>-185112.28</v>
      </c>
      <c r="E107" s="64">
        <f t="shared" si="52"/>
        <v>1479887.72</v>
      </c>
      <c r="F107" s="64">
        <f t="shared" si="52"/>
        <v>1479887.72</v>
      </c>
      <c r="G107" s="64">
        <f t="shared" si="52"/>
        <v>0</v>
      </c>
      <c r="H107" s="64">
        <f t="shared" si="52"/>
        <v>1479887.72</v>
      </c>
      <c r="I107" s="64">
        <f t="shared" si="52"/>
        <v>0</v>
      </c>
      <c r="J107" s="64">
        <f t="shared" si="52"/>
        <v>0</v>
      </c>
      <c r="K107" s="64">
        <f t="shared" si="52"/>
        <v>1479887.72</v>
      </c>
      <c r="L107" s="64">
        <f t="shared" si="52"/>
        <v>382358.36</v>
      </c>
      <c r="M107" s="64">
        <f t="shared" si="52"/>
        <v>1097529.3600000001</v>
      </c>
    </row>
    <row r="108" spans="1:13" s="32" customFormat="1" ht="20.100000000000001" customHeight="1" x14ac:dyDescent="0.25">
      <c r="A108" s="17">
        <v>27101</v>
      </c>
      <c r="B108" s="8" t="s">
        <v>60</v>
      </c>
      <c r="C108" s="44">
        <v>1065000</v>
      </c>
      <c r="D108" s="44">
        <f>-38553.3+1051269.32-837702.76</f>
        <v>175013.26</v>
      </c>
      <c r="E108" s="44">
        <f t="shared" si="33"/>
        <v>1240013.26</v>
      </c>
      <c r="F108" s="44">
        <v>1240013.26</v>
      </c>
      <c r="G108" s="44">
        <f t="shared" si="34"/>
        <v>0</v>
      </c>
      <c r="H108" s="44">
        <f t="shared" si="36"/>
        <v>1240013.26</v>
      </c>
      <c r="I108" s="44">
        <f t="shared" si="37"/>
        <v>0</v>
      </c>
      <c r="J108" s="44">
        <f t="shared" si="35"/>
        <v>0</v>
      </c>
      <c r="K108" s="44">
        <f t="shared" si="38"/>
        <v>1240013.26</v>
      </c>
      <c r="L108" s="44">
        <f>11446.7+127297.24+3739.96</f>
        <v>142483.9</v>
      </c>
      <c r="M108" s="44">
        <v>1097529.3600000001</v>
      </c>
    </row>
    <row r="109" spans="1:13" s="32" customFormat="1" ht="20.100000000000001" customHeight="1" x14ac:dyDescent="0.25">
      <c r="A109" s="17">
        <v>27201</v>
      </c>
      <c r="B109" s="8" t="s">
        <v>61</v>
      </c>
      <c r="C109" s="44">
        <v>200000</v>
      </c>
      <c r="D109" s="44">
        <f>100000-50000-71676.8+30192.84</f>
        <v>8516.0399999999972</v>
      </c>
      <c r="E109" s="44">
        <f t="shared" si="33"/>
        <v>208516.04</v>
      </c>
      <c r="F109" s="44">
        <v>208516.04</v>
      </c>
      <c r="G109" s="44">
        <f t="shared" si="34"/>
        <v>0</v>
      </c>
      <c r="H109" s="44">
        <f t="shared" si="36"/>
        <v>208516.04</v>
      </c>
      <c r="I109" s="44">
        <f t="shared" si="37"/>
        <v>0</v>
      </c>
      <c r="J109" s="44">
        <f t="shared" si="35"/>
        <v>0</v>
      </c>
      <c r="K109" s="44">
        <f t="shared" si="38"/>
        <v>208516.04</v>
      </c>
      <c r="L109" s="44">
        <f t="shared" si="31"/>
        <v>208516.04</v>
      </c>
      <c r="M109" s="44">
        <f t="shared" si="39"/>
        <v>0</v>
      </c>
    </row>
    <row r="110" spans="1:13" s="32" customFormat="1" ht="20.100000000000001" customHeight="1" x14ac:dyDescent="0.25">
      <c r="A110" s="17">
        <v>27301</v>
      </c>
      <c r="B110" s="8" t="s">
        <v>62</v>
      </c>
      <c r="C110" s="44">
        <v>400000</v>
      </c>
      <c r="D110" s="44">
        <f>-150000-200000-18641.58</f>
        <v>-368641.58</v>
      </c>
      <c r="E110" s="44">
        <f t="shared" si="33"/>
        <v>31358.419999999984</v>
      </c>
      <c r="F110" s="44">
        <v>31358.42</v>
      </c>
      <c r="G110" s="44">
        <f t="shared" si="34"/>
        <v>0</v>
      </c>
      <c r="H110" s="44">
        <f t="shared" si="36"/>
        <v>31358.42</v>
      </c>
      <c r="I110" s="44">
        <f t="shared" si="37"/>
        <v>0</v>
      </c>
      <c r="J110" s="44">
        <f t="shared" si="35"/>
        <v>0</v>
      </c>
      <c r="K110" s="44">
        <f t="shared" si="38"/>
        <v>31358.42</v>
      </c>
      <c r="L110" s="44">
        <f t="shared" si="31"/>
        <v>31358.42</v>
      </c>
      <c r="M110" s="44">
        <f t="shared" si="39"/>
        <v>0</v>
      </c>
    </row>
    <row r="111" spans="1:13" s="72" customFormat="1" ht="30" x14ac:dyDescent="0.25">
      <c r="A111" s="65">
        <v>2900</v>
      </c>
      <c r="B111" s="71" t="s">
        <v>205</v>
      </c>
      <c r="C111" s="64">
        <f t="shared" ref="C111:M111" si="53">SUM(C112:C116)</f>
        <v>900000</v>
      </c>
      <c r="D111" s="64">
        <f t="shared" si="53"/>
        <v>359309.7</v>
      </c>
      <c r="E111" s="64">
        <f t="shared" si="53"/>
        <v>1259309.7</v>
      </c>
      <c r="F111" s="64">
        <f t="shared" si="53"/>
        <v>1259309.7</v>
      </c>
      <c r="G111" s="64">
        <f t="shared" si="53"/>
        <v>0</v>
      </c>
      <c r="H111" s="64">
        <f t="shared" si="53"/>
        <v>1259309.7</v>
      </c>
      <c r="I111" s="64">
        <f t="shared" si="53"/>
        <v>0</v>
      </c>
      <c r="J111" s="64">
        <f t="shared" si="53"/>
        <v>0</v>
      </c>
      <c r="K111" s="64">
        <f t="shared" si="53"/>
        <v>1259309.7</v>
      </c>
      <c r="L111" s="64">
        <f t="shared" si="53"/>
        <v>1259309.7</v>
      </c>
      <c r="M111" s="64">
        <f t="shared" si="53"/>
        <v>0</v>
      </c>
    </row>
    <row r="112" spans="1:13" s="32" customFormat="1" ht="20.100000000000001" customHeight="1" x14ac:dyDescent="0.25">
      <c r="A112" s="17">
        <v>29101</v>
      </c>
      <c r="B112" s="8" t="s">
        <v>63</v>
      </c>
      <c r="C112" s="44">
        <v>400000</v>
      </c>
      <c r="D112" s="44">
        <f>100000+50000-100000-50583.85+235390.92</f>
        <v>234807.07</v>
      </c>
      <c r="E112" s="44">
        <f t="shared" si="33"/>
        <v>634807.07000000007</v>
      </c>
      <c r="F112" s="44">
        <v>634807.06999999995</v>
      </c>
      <c r="G112" s="44">
        <f t="shared" si="34"/>
        <v>0</v>
      </c>
      <c r="H112" s="44">
        <f t="shared" si="36"/>
        <v>634807.06999999995</v>
      </c>
      <c r="I112" s="44">
        <f t="shared" si="37"/>
        <v>0</v>
      </c>
      <c r="J112" s="44">
        <f t="shared" si="35"/>
        <v>0</v>
      </c>
      <c r="K112" s="44">
        <f t="shared" si="38"/>
        <v>634807.06999999995</v>
      </c>
      <c r="L112" s="44">
        <f t="shared" si="31"/>
        <v>634807.06999999995</v>
      </c>
      <c r="M112" s="44">
        <f t="shared" si="39"/>
        <v>0</v>
      </c>
    </row>
    <row r="113" spans="1:13" s="32" customFormat="1" ht="20.100000000000001" customHeight="1" x14ac:dyDescent="0.25">
      <c r="A113" s="17">
        <v>29201</v>
      </c>
      <c r="B113" s="8" t="s">
        <v>94</v>
      </c>
      <c r="C113" s="44">
        <v>100000</v>
      </c>
      <c r="D113" s="44">
        <f>20000+30000-20000+1061.26</f>
        <v>31061.26</v>
      </c>
      <c r="E113" s="44">
        <f t="shared" si="33"/>
        <v>131061.26</v>
      </c>
      <c r="F113" s="44">
        <v>131061.26</v>
      </c>
      <c r="G113" s="44">
        <f t="shared" si="34"/>
        <v>0</v>
      </c>
      <c r="H113" s="44">
        <f t="shared" si="36"/>
        <v>131061.26</v>
      </c>
      <c r="I113" s="44">
        <f t="shared" si="37"/>
        <v>0</v>
      </c>
      <c r="J113" s="44">
        <f t="shared" si="35"/>
        <v>0</v>
      </c>
      <c r="K113" s="44">
        <f t="shared" si="38"/>
        <v>131061.26</v>
      </c>
      <c r="L113" s="44">
        <f t="shared" si="31"/>
        <v>131061.26</v>
      </c>
      <c r="M113" s="44">
        <f t="shared" si="39"/>
        <v>0</v>
      </c>
    </row>
    <row r="114" spans="1:13" s="32" customFormat="1" ht="25.5" customHeight="1" x14ac:dyDescent="0.25">
      <c r="A114" s="17">
        <v>29301</v>
      </c>
      <c r="B114" s="8" t="s">
        <v>163</v>
      </c>
      <c r="C114" s="44">
        <v>50000</v>
      </c>
      <c r="D114" s="44">
        <f>20000+2000-20000-16069.35</f>
        <v>-14069.35</v>
      </c>
      <c r="E114" s="44">
        <f t="shared" si="33"/>
        <v>35930.65</v>
      </c>
      <c r="F114" s="44">
        <v>35930.65</v>
      </c>
      <c r="G114" s="44">
        <f t="shared" si="34"/>
        <v>0</v>
      </c>
      <c r="H114" s="44">
        <f t="shared" si="36"/>
        <v>35930.65</v>
      </c>
      <c r="I114" s="44">
        <f t="shared" si="37"/>
        <v>0</v>
      </c>
      <c r="J114" s="44">
        <f t="shared" si="35"/>
        <v>0</v>
      </c>
      <c r="K114" s="44">
        <f t="shared" si="38"/>
        <v>35930.65</v>
      </c>
      <c r="L114" s="44">
        <f t="shared" si="31"/>
        <v>35930.65</v>
      </c>
      <c r="M114" s="44">
        <f t="shared" si="39"/>
        <v>0</v>
      </c>
    </row>
    <row r="115" spans="1:13" s="32" customFormat="1" ht="30" x14ac:dyDescent="0.25">
      <c r="A115" s="17">
        <v>29401</v>
      </c>
      <c r="B115" s="8" t="s">
        <v>64</v>
      </c>
      <c r="C115" s="44">
        <v>250000</v>
      </c>
      <c r="D115" s="44">
        <f>150000-50000-91070.64+68348.45</f>
        <v>77277.81</v>
      </c>
      <c r="E115" s="44">
        <f t="shared" ref="E115" si="54">C115+D115</f>
        <v>327277.81</v>
      </c>
      <c r="F115" s="44">
        <v>327277.81</v>
      </c>
      <c r="G115" s="44">
        <f t="shared" ref="G115" si="55">E115-F115</f>
        <v>0</v>
      </c>
      <c r="H115" s="44">
        <f t="shared" ref="H115" si="56">F115</f>
        <v>327277.81</v>
      </c>
      <c r="I115" s="44">
        <f t="shared" ref="I115" si="57">F115-H115</f>
        <v>0</v>
      </c>
      <c r="J115" s="44">
        <f t="shared" ref="J115" si="58">E115-H115</f>
        <v>0</v>
      </c>
      <c r="K115" s="44">
        <f t="shared" ref="K115" si="59">F115</f>
        <v>327277.81</v>
      </c>
      <c r="L115" s="44">
        <f t="shared" ref="L115" si="60">K115</f>
        <v>327277.81</v>
      </c>
      <c r="M115" s="44">
        <f t="shared" ref="M115" si="61">H115-L115</f>
        <v>0</v>
      </c>
    </row>
    <row r="116" spans="1:13" s="32" customFormat="1" ht="30" x14ac:dyDescent="0.25">
      <c r="A116" s="17">
        <v>29601</v>
      </c>
      <c r="B116" s="8" t="s">
        <v>226</v>
      </c>
      <c r="C116" s="44">
        <v>100000</v>
      </c>
      <c r="D116" s="44">
        <f>20000+10232.91</f>
        <v>30232.91</v>
      </c>
      <c r="E116" s="44">
        <f t="shared" ref="E116" si="62">C116+D116</f>
        <v>130232.91</v>
      </c>
      <c r="F116" s="44">
        <v>130232.91</v>
      </c>
      <c r="G116" s="44">
        <f t="shared" ref="G116" si="63">E116-F116</f>
        <v>0</v>
      </c>
      <c r="H116" s="44">
        <f t="shared" ref="H116" si="64">F116</f>
        <v>130232.91</v>
      </c>
      <c r="I116" s="44">
        <f t="shared" ref="I116" si="65">F116-H116</f>
        <v>0</v>
      </c>
      <c r="J116" s="44">
        <f t="shared" ref="J116" si="66">E116-H116</f>
        <v>0</v>
      </c>
      <c r="K116" s="44">
        <f t="shared" ref="K116" si="67">F116</f>
        <v>130232.91</v>
      </c>
      <c r="L116" s="44">
        <f t="shared" ref="L116" si="68">K116</f>
        <v>130232.91</v>
      </c>
      <c r="M116" s="44">
        <f t="shared" ref="M116" si="69">H116-L116</f>
        <v>0</v>
      </c>
    </row>
    <row r="117" spans="1:13" s="32" customFormat="1" ht="17.100000000000001" customHeight="1" thickBot="1" x14ac:dyDescent="0.3">
      <c r="A117" s="74"/>
      <c r="B117" s="77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 s="32" customFormat="1" ht="21.95" customHeight="1" thickBot="1" x14ac:dyDescent="0.3">
      <c r="A118" s="16"/>
      <c r="B118" s="78" t="s">
        <v>99</v>
      </c>
      <c r="C118" s="30">
        <f t="shared" ref="C118:M118" si="70">C77+C84+C87+C97+C105+C107+C111</f>
        <v>19100000</v>
      </c>
      <c r="D118" s="30">
        <f t="shared" si="70"/>
        <v>45766.999999999825</v>
      </c>
      <c r="E118" s="30">
        <f t="shared" si="70"/>
        <v>19145766.999999996</v>
      </c>
      <c r="F118" s="30">
        <f t="shared" si="70"/>
        <v>18909909.549999997</v>
      </c>
      <c r="G118" s="30">
        <f t="shared" si="70"/>
        <v>235857.45000000019</v>
      </c>
      <c r="H118" s="30">
        <f t="shared" si="70"/>
        <v>18909909.549999997</v>
      </c>
      <c r="I118" s="30">
        <f t="shared" si="70"/>
        <v>0</v>
      </c>
      <c r="J118" s="30">
        <f t="shared" si="70"/>
        <v>235857.45000000019</v>
      </c>
      <c r="K118" s="30">
        <f t="shared" si="70"/>
        <v>18909909.549999997</v>
      </c>
      <c r="L118" s="30">
        <f t="shared" si="70"/>
        <v>17576522.739999998</v>
      </c>
      <c r="M118" s="30">
        <f t="shared" si="70"/>
        <v>1333386.81</v>
      </c>
    </row>
    <row r="119" spans="1:13" s="32" customFormat="1" x14ac:dyDescent="0.25">
      <c r="A119" s="79"/>
      <c r="B119" s="80"/>
      <c r="C119" s="48"/>
      <c r="D119" s="48"/>
      <c r="E119" s="48"/>
      <c r="F119" s="48"/>
      <c r="G119" s="48"/>
      <c r="H119" s="48"/>
      <c r="I119" s="48"/>
      <c r="J119" s="48"/>
      <c r="K119" s="48"/>
      <c r="L119" s="44"/>
      <c r="M119" s="48"/>
    </row>
    <row r="120" spans="1:13" s="32" customFormat="1" ht="21.95" customHeight="1" x14ac:dyDescent="0.25">
      <c r="A120" s="65">
        <v>3000</v>
      </c>
      <c r="B120" s="70" t="s">
        <v>103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</row>
    <row r="121" spans="1:13" s="72" customFormat="1" ht="21.95" customHeight="1" x14ac:dyDescent="0.25">
      <c r="A121" s="65">
        <v>3100</v>
      </c>
      <c r="B121" s="70" t="s">
        <v>206</v>
      </c>
      <c r="C121" s="64">
        <f>SUM(C122:C126)</f>
        <v>12255000</v>
      </c>
      <c r="D121" s="64">
        <f t="shared" ref="D121:M121" si="71">SUM(D122:D126)</f>
        <v>-1648801.6600000004</v>
      </c>
      <c r="E121" s="64">
        <f t="shared" si="71"/>
        <v>10606198.340000002</v>
      </c>
      <c r="F121" s="64">
        <f t="shared" si="71"/>
        <v>10606198.340000002</v>
      </c>
      <c r="G121" s="64">
        <f t="shared" si="71"/>
        <v>0</v>
      </c>
      <c r="H121" s="64">
        <f t="shared" si="71"/>
        <v>10606198.340000002</v>
      </c>
      <c r="I121" s="64">
        <f t="shared" si="71"/>
        <v>0</v>
      </c>
      <c r="J121" s="64">
        <f t="shared" si="71"/>
        <v>0</v>
      </c>
      <c r="K121" s="64">
        <f t="shared" si="71"/>
        <v>10606198.340000002</v>
      </c>
      <c r="L121" s="64">
        <f t="shared" si="71"/>
        <v>10606198.340000002</v>
      </c>
      <c r="M121" s="64">
        <f t="shared" si="71"/>
        <v>0</v>
      </c>
    </row>
    <row r="122" spans="1:13" s="32" customFormat="1" ht="20.100000000000001" customHeight="1" x14ac:dyDescent="0.25">
      <c r="A122" s="17">
        <v>31101</v>
      </c>
      <c r="B122" s="8" t="s">
        <v>91</v>
      </c>
      <c r="C122" s="44">
        <v>8000000</v>
      </c>
      <c r="D122" s="44">
        <f>-1000000+50000-1039257+348984.41</f>
        <v>-1640272.59</v>
      </c>
      <c r="E122" s="44">
        <f>C122+D122</f>
        <v>6359727.4100000001</v>
      </c>
      <c r="F122" s="44">
        <v>6359727.4100000001</v>
      </c>
      <c r="G122" s="44">
        <f>E122-F122</f>
        <v>0</v>
      </c>
      <c r="H122" s="44">
        <f>F122</f>
        <v>6359727.4100000001</v>
      </c>
      <c r="I122" s="44">
        <f>F122-H122</f>
        <v>0</v>
      </c>
      <c r="J122" s="44">
        <f>E122-H122</f>
        <v>0</v>
      </c>
      <c r="K122" s="44">
        <f>F122</f>
        <v>6359727.4100000001</v>
      </c>
      <c r="L122" s="44">
        <f t="shared" si="31"/>
        <v>6359727.4100000001</v>
      </c>
      <c r="M122" s="44">
        <f>H122-L122</f>
        <v>0</v>
      </c>
    </row>
    <row r="123" spans="1:13" s="32" customFormat="1" ht="20.100000000000001" customHeight="1" x14ac:dyDescent="0.25">
      <c r="A123" s="17">
        <v>31301</v>
      </c>
      <c r="B123" s="8" t="s">
        <v>65</v>
      </c>
      <c r="C123" s="44">
        <v>250000</v>
      </c>
      <c r="D123" s="44">
        <f>100000-111323+3873.63</f>
        <v>-7449.37</v>
      </c>
      <c r="E123" s="44">
        <f t="shared" ref="E123:E175" si="72">C123+D123</f>
        <v>242550.63</v>
      </c>
      <c r="F123" s="44">
        <v>242550.63</v>
      </c>
      <c r="G123" s="44">
        <f t="shared" ref="G123:G175" si="73">E123-F123</f>
        <v>0</v>
      </c>
      <c r="H123" s="44">
        <f t="shared" ref="H123:H175" si="74">F123</f>
        <v>242550.63</v>
      </c>
      <c r="I123" s="44">
        <f t="shared" ref="I123:I175" si="75">F123-H123</f>
        <v>0</v>
      </c>
      <c r="J123" s="44">
        <f t="shared" ref="J123:J175" si="76">E123-H123</f>
        <v>0</v>
      </c>
      <c r="K123" s="44">
        <f t="shared" ref="K123:K175" si="77">F123</f>
        <v>242550.63</v>
      </c>
      <c r="L123" s="44">
        <f t="shared" si="31"/>
        <v>242550.63</v>
      </c>
      <c r="M123" s="44">
        <f t="shared" ref="M123:M175" si="78">H123-L123</f>
        <v>0</v>
      </c>
    </row>
    <row r="124" spans="1:13" s="32" customFormat="1" ht="20.100000000000001" customHeight="1" x14ac:dyDescent="0.25">
      <c r="A124" s="17">
        <v>31401</v>
      </c>
      <c r="B124" s="8" t="s">
        <v>92</v>
      </c>
      <c r="C124" s="44">
        <v>3000000</v>
      </c>
      <c r="D124" s="44">
        <f>-800000-409002.12+40811.47</f>
        <v>-1168190.6500000001</v>
      </c>
      <c r="E124" s="44">
        <f t="shared" si="72"/>
        <v>1831809.3499999999</v>
      </c>
      <c r="F124" s="44">
        <v>1831809.35</v>
      </c>
      <c r="G124" s="44">
        <f t="shared" si="73"/>
        <v>0</v>
      </c>
      <c r="H124" s="44">
        <f t="shared" si="74"/>
        <v>1831809.35</v>
      </c>
      <c r="I124" s="44">
        <f t="shared" si="75"/>
        <v>0</v>
      </c>
      <c r="J124" s="44">
        <f t="shared" si="76"/>
        <v>0</v>
      </c>
      <c r="K124" s="44">
        <f t="shared" si="77"/>
        <v>1831809.35</v>
      </c>
      <c r="L124" s="44">
        <f t="shared" si="31"/>
        <v>1831809.35</v>
      </c>
      <c r="M124" s="44">
        <f t="shared" si="78"/>
        <v>0</v>
      </c>
    </row>
    <row r="125" spans="1:13" s="32" customFormat="1" ht="20.100000000000001" customHeight="1" x14ac:dyDescent="0.25">
      <c r="A125" s="17">
        <v>31602</v>
      </c>
      <c r="B125" s="8" t="s">
        <v>66</v>
      </c>
      <c r="C125" s="44">
        <v>1000000</v>
      </c>
      <c r="D125" s="44">
        <f>620073.1+595090.14-44128.5</f>
        <v>1171034.74</v>
      </c>
      <c r="E125" s="44">
        <f t="shared" si="72"/>
        <v>2171034.7400000002</v>
      </c>
      <c r="F125" s="44">
        <v>2171034.7400000002</v>
      </c>
      <c r="G125" s="44">
        <f t="shared" si="73"/>
        <v>0</v>
      </c>
      <c r="H125" s="44">
        <f t="shared" si="74"/>
        <v>2171034.7400000002</v>
      </c>
      <c r="I125" s="44">
        <f t="shared" si="75"/>
        <v>0</v>
      </c>
      <c r="J125" s="44">
        <f t="shared" si="76"/>
        <v>0</v>
      </c>
      <c r="K125" s="44">
        <f t="shared" si="77"/>
        <v>2171034.7400000002</v>
      </c>
      <c r="L125" s="44">
        <f t="shared" si="31"/>
        <v>2171034.7400000002</v>
      </c>
      <c r="M125" s="44">
        <f t="shared" si="78"/>
        <v>0</v>
      </c>
    </row>
    <row r="126" spans="1:13" s="32" customFormat="1" ht="20.100000000000001" customHeight="1" x14ac:dyDescent="0.25">
      <c r="A126" s="17">
        <v>31801</v>
      </c>
      <c r="B126" s="8" t="s">
        <v>67</v>
      </c>
      <c r="C126" s="44">
        <v>5000</v>
      </c>
      <c r="D126" s="44">
        <f>-4051.51+127.72</f>
        <v>-3923.7900000000004</v>
      </c>
      <c r="E126" s="44">
        <f t="shared" si="72"/>
        <v>1076.2099999999996</v>
      </c>
      <c r="F126" s="44">
        <v>1076.21</v>
      </c>
      <c r="G126" s="44">
        <f t="shared" si="73"/>
        <v>0</v>
      </c>
      <c r="H126" s="44">
        <f t="shared" si="74"/>
        <v>1076.21</v>
      </c>
      <c r="I126" s="44">
        <f t="shared" si="75"/>
        <v>0</v>
      </c>
      <c r="J126" s="44">
        <f t="shared" si="76"/>
        <v>0</v>
      </c>
      <c r="K126" s="44">
        <f t="shared" si="77"/>
        <v>1076.21</v>
      </c>
      <c r="L126" s="44">
        <f t="shared" si="31"/>
        <v>1076.21</v>
      </c>
      <c r="M126" s="44">
        <f t="shared" si="78"/>
        <v>0</v>
      </c>
    </row>
    <row r="127" spans="1:13" s="72" customFormat="1" ht="21.95" customHeight="1" x14ac:dyDescent="0.25">
      <c r="A127" s="65">
        <v>3200</v>
      </c>
      <c r="B127" s="71" t="s">
        <v>207</v>
      </c>
      <c r="C127" s="64">
        <f>SUM(C128:C130)</f>
        <v>7250000</v>
      </c>
      <c r="D127" s="64">
        <f t="shared" ref="D127:M127" si="79">SUM(D128:D130)</f>
        <v>-464548.91000000003</v>
      </c>
      <c r="E127" s="64">
        <f t="shared" si="79"/>
        <v>6785451.0900000008</v>
      </c>
      <c r="F127" s="64">
        <f t="shared" si="79"/>
        <v>6785451.0900000008</v>
      </c>
      <c r="G127" s="64">
        <f t="shared" si="79"/>
        <v>0</v>
      </c>
      <c r="H127" s="64">
        <f t="shared" si="79"/>
        <v>6785451.0900000008</v>
      </c>
      <c r="I127" s="64">
        <f t="shared" si="79"/>
        <v>0</v>
      </c>
      <c r="J127" s="64">
        <f t="shared" si="79"/>
        <v>0</v>
      </c>
      <c r="K127" s="64">
        <f t="shared" si="79"/>
        <v>6785451.0900000008</v>
      </c>
      <c r="L127" s="64">
        <f t="shared" si="79"/>
        <v>6785451.0900000008</v>
      </c>
      <c r="M127" s="64">
        <f t="shared" si="79"/>
        <v>0</v>
      </c>
    </row>
    <row r="128" spans="1:13" s="32" customFormat="1" ht="20.100000000000001" customHeight="1" x14ac:dyDescent="0.25">
      <c r="A128" s="17">
        <v>32201</v>
      </c>
      <c r="B128" s="8" t="s">
        <v>68</v>
      </c>
      <c r="C128" s="44">
        <v>7000000</v>
      </c>
      <c r="D128" s="44">
        <v>-228677.39</v>
      </c>
      <c r="E128" s="44">
        <f t="shared" si="72"/>
        <v>6771322.6100000003</v>
      </c>
      <c r="F128" s="44">
        <v>6771322.6100000003</v>
      </c>
      <c r="G128" s="44">
        <f t="shared" si="73"/>
        <v>0</v>
      </c>
      <c r="H128" s="44">
        <f t="shared" si="74"/>
        <v>6771322.6100000003</v>
      </c>
      <c r="I128" s="44">
        <f t="shared" si="75"/>
        <v>0</v>
      </c>
      <c r="J128" s="44">
        <f t="shared" si="76"/>
        <v>0</v>
      </c>
      <c r="K128" s="44">
        <f t="shared" si="77"/>
        <v>6771322.6100000003</v>
      </c>
      <c r="L128" s="44">
        <f t="shared" si="31"/>
        <v>6771322.6100000003</v>
      </c>
      <c r="M128" s="44">
        <f t="shared" si="78"/>
        <v>0</v>
      </c>
    </row>
    <row r="129" spans="1:13" s="32" customFormat="1" ht="20.100000000000001" customHeight="1" x14ac:dyDescent="0.25">
      <c r="A129" s="17">
        <v>32303</v>
      </c>
      <c r="B129" s="8" t="s">
        <v>164</v>
      </c>
      <c r="C129" s="44">
        <v>0</v>
      </c>
      <c r="D129" s="44">
        <v>0</v>
      </c>
      <c r="E129" s="44">
        <f t="shared" si="72"/>
        <v>0</v>
      </c>
      <c r="F129" s="44">
        <v>0</v>
      </c>
      <c r="G129" s="44">
        <f t="shared" si="73"/>
        <v>0</v>
      </c>
      <c r="H129" s="44">
        <f t="shared" si="74"/>
        <v>0</v>
      </c>
      <c r="I129" s="44">
        <f t="shared" si="75"/>
        <v>0</v>
      </c>
      <c r="J129" s="44">
        <f t="shared" si="76"/>
        <v>0</v>
      </c>
      <c r="K129" s="44">
        <f t="shared" si="77"/>
        <v>0</v>
      </c>
      <c r="L129" s="44">
        <f t="shared" si="31"/>
        <v>0</v>
      </c>
      <c r="M129" s="44">
        <f t="shared" si="78"/>
        <v>0</v>
      </c>
    </row>
    <row r="130" spans="1:13" s="32" customFormat="1" ht="20.100000000000001" customHeight="1" x14ac:dyDescent="0.25">
      <c r="A130" s="17">
        <v>32701</v>
      </c>
      <c r="B130" s="8" t="s">
        <v>96</v>
      </c>
      <c r="C130" s="44">
        <v>250000</v>
      </c>
      <c r="D130" s="44">
        <f>-250000+14128.48</f>
        <v>-235871.52</v>
      </c>
      <c r="E130" s="44">
        <f t="shared" si="72"/>
        <v>14128.48000000001</v>
      </c>
      <c r="F130" s="44">
        <v>14128.48</v>
      </c>
      <c r="G130" s="44">
        <f t="shared" si="73"/>
        <v>0</v>
      </c>
      <c r="H130" s="44">
        <f t="shared" si="74"/>
        <v>14128.48</v>
      </c>
      <c r="I130" s="44">
        <f t="shared" si="75"/>
        <v>0</v>
      </c>
      <c r="J130" s="44">
        <f t="shared" si="76"/>
        <v>0</v>
      </c>
      <c r="K130" s="44">
        <f t="shared" si="77"/>
        <v>14128.48</v>
      </c>
      <c r="L130" s="44">
        <f t="shared" si="31"/>
        <v>14128.48</v>
      </c>
      <c r="M130" s="44">
        <f t="shared" si="78"/>
        <v>0</v>
      </c>
    </row>
    <row r="131" spans="1:13" s="72" customFormat="1" ht="30" x14ac:dyDescent="0.25">
      <c r="A131" s="65">
        <v>3300</v>
      </c>
      <c r="B131" s="71" t="s">
        <v>208</v>
      </c>
      <c r="C131" s="64">
        <f t="shared" ref="C131:M131" si="80">SUM(C132:C141)</f>
        <v>6850000</v>
      </c>
      <c r="D131" s="64">
        <f t="shared" si="80"/>
        <v>-1234486.6400000001</v>
      </c>
      <c r="E131" s="64">
        <f t="shared" si="80"/>
        <v>5615513.3599999994</v>
      </c>
      <c r="F131" s="64">
        <f t="shared" si="80"/>
        <v>5615513.3599999994</v>
      </c>
      <c r="G131" s="64">
        <f t="shared" si="80"/>
        <v>0</v>
      </c>
      <c r="H131" s="64">
        <f t="shared" si="80"/>
        <v>5615513.3599999994</v>
      </c>
      <c r="I131" s="64">
        <f t="shared" si="80"/>
        <v>0</v>
      </c>
      <c r="J131" s="64">
        <f t="shared" si="80"/>
        <v>0</v>
      </c>
      <c r="K131" s="64">
        <f t="shared" si="80"/>
        <v>5615513.3599999994</v>
      </c>
      <c r="L131" s="64">
        <f t="shared" si="80"/>
        <v>5615513.3599999994</v>
      </c>
      <c r="M131" s="64">
        <f t="shared" si="80"/>
        <v>0</v>
      </c>
    </row>
    <row r="132" spans="1:13" s="32" customFormat="1" ht="30" x14ac:dyDescent="0.25">
      <c r="A132" s="17">
        <v>33101</v>
      </c>
      <c r="B132" s="8" t="s">
        <v>69</v>
      </c>
      <c r="C132" s="44">
        <v>250000</v>
      </c>
      <c r="D132" s="44">
        <f>-107924.55-80000-62075.45</f>
        <v>-250000</v>
      </c>
      <c r="E132" s="44">
        <f t="shared" si="72"/>
        <v>0</v>
      </c>
      <c r="F132" s="44">
        <v>0</v>
      </c>
      <c r="G132" s="44">
        <f t="shared" si="73"/>
        <v>0</v>
      </c>
      <c r="H132" s="44">
        <f t="shared" si="74"/>
        <v>0</v>
      </c>
      <c r="I132" s="44">
        <f t="shared" si="75"/>
        <v>0</v>
      </c>
      <c r="J132" s="44">
        <f t="shared" si="76"/>
        <v>0</v>
      </c>
      <c r="K132" s="44">
        <f t="shared" si="77"/>
        <v>0</v>
      </c>
      <c r="L132" s="44">
        <f t="shared" si="31"/>
        <v>0</v>
      </c>
      <c r="M132" s="44">
        <f t="shared" si="78"/>
        <v>0</v>
      </c>
    </row>
    <row r="133" spans="1:13" s="32" customFormat="1" ht="18.95" customHeight="1" x14ac:dyDescent="0.25">
      <c r="A133" s="17">
        <v>33104</v>
      </c>
      <c r="B133" s="8" t="s">
        <v>228</v>
      </c>
      <c r="C133" s="44">
        <v>500000</v>
      </c>
      <c r="D133" s="44">
        <f>-100000-100000-250000-50000</f>
        <v>-500000</v>
      </c>
      <c r="E133" s="44">
        <f t="shared" si="72"/>
        <v>0</v>
      </c>
      <c r="F133" s="44">
        <v>0</v>
      </c>
      <c r="G133" s="44">
        <f t="shared" si="73"/>
        <v>0</v>
      </c>
      <c r="H133" s="44">
        <f t="shared" si="74"/>
        <v>0</v>
      </c>
      <c r="I133" s="44">
        <f t="shared" si="75"/>
        <v>0</v>
      </c>
      <c r="J133" s="44">
        <f t="shared" si="76"/>
        <v>0</v>
      </c>
      <c r="K133" s="44">
        <f t="shared" si="77"/>
        <v>0</v>
      </c>
      <c r="L133" s="44">
        <f t="shared" si="31"/>
        <v>0</v>
      </c>
      <c r="M133" s="44">
        <f t="shared" si="78"/>
        <v>0</v>
      </c>
    </row>
    <row r="134" spans="1:13" s="32" customFormat="1" ht="30" x14ac:dyDescent="0.25">
      <c r="A134" s="17">
        <v>33201</v>
      </c>
      <c r="B134" s="8" t="s">
        <v>227</v>
      </c>
      <c r="C134" s="44">
        <v>0</v>
      </c>
      <c r="D134" s="44">
        <v>0</v>
      </c>
      <c r="E134" s="44">
        <f t="shared" si="72"/>
        <v>0</v>
      </c>
      <c r="F134" s="44">
        <v>0</v>
      </c>
      <c r="G134" s="44">
        <f t="shared" si="73"/>
        <v>0</v>
      </c>
      <c r="H134" s="44">
        <f t="shared" si="74"/>
        <v>0</v>
      </c>
      <c r="I134" s="44">
        <f t="shared" si="75"/>
        <v>0</v>
      </c>
      <c r="J134" s="44">
        <f t="shared" si="76"/>
        <v>0</v>
      </c>
      <c r="K134" s="44">
        <f t="shared" si="77"/>
        <v>0</v>
      </c>
      <c r="L134" s="44">
        <f t="shared" si="31"/>
        <v>0</v>
      </c>
      <c r="M134" s="44">
        <f t="shared" si="78"/>
        <v>0</v>
      </c>
    </row>
    <row r="135" spans="1:13" s="32" customFormat="1" ht="20.100000000000001" customHeight="1" x14ac:dyDescent="0.25">
      <c r="A135" s="17">
        <v>33301</v>
      </c>
      <c r="B135" s="8" t="s">
        <v>97</v>
      </c>
      <c r="C135" s="44">
        <v>500000</v>
      </c>
      <c r="D135" s="44">
        <f>-200000-200000-28309.14+78560.06</f>
        <v>-349749.08</v>
      </c>
      <c r="E135" s="44">
        <f t="shared" si="72"/>
        <v>150250.91999999998</v>
      </c>
      <c r="F135" s="44">
        <v>150250.92000000001</v>
      </c>
      <c r="G135" s="44">
        <f t="shared" si="73"/>
        <v>0</v>
      </c>
      <c r="H135" s="44">
        <f t="shared" si="74"/>
        <v>150250.92000000001</v>
      </c>
      <c r="I135" s="44">
        <f t="shared" si="75"/>
        <v>0</v>
      </c>
      <c r="J135" s="44">
        <f t="shared" si="76"/>
        <v>0</v>
      </c>
      <c r="K135" s="44">
        <f t="shared" si="77"/>
        <v>150250.92000000001</v>
      </c>
      <c r="L135" s="44">
        <f t="shared" si="31"/>
        <v>150250.92000000001</v>
      </c>
      <c r="M135" s="44">
        <f t="shared" si="78"/>
        <v>0</v>
      </c>
    </row>
    <row r="136" spans="1:13" s="32" customFormat="1" ht="20.100000000000001" customHeight="1" x14ac:dyDescent="0.25">
      <c r="A136" s="17">
        <v>33302</v>
      </c>
      <c r="B136" s="8" t="s">
        <v>229</v>
      </c>
      <c r="C136" s="44">
        <v>2000000</v>
      </c>
      <c r="D136" s="44">
        <v>-203270.3</v>
      </c>
      <c r="E136" s="44">
        <f t="shared" si="72"/>
        <v>1796729.7</v>
      </c>
      <c r="F136" s="44">
        <v>1796729.7</v>
      </c>
      <c r="G136" s="44">
        <f t="shared" si="73"/>
        <v>0</v>
      </c>
      <c r="H136" s="44">
        <f t="shared" si="74"/>
        <v>1796729.7</v>
      </c>
      <c r="I136" s="44">
        <f t="shared" si="75"/>
        <v>0</v>
      </c>
      <c r="J136" s="44">
        <f t="shared" si="76"/>
        <v>0</v>
      </c>
      <c r="K136" s="44">
        <f t="shared" si="77"/>
        <v>1796729.7</v>
      </c>
      <c r="L136" s="44">
        <f t="shared" si="31"/>
        <v>1796729.7</v>
      </c>
      <c r="M136" s="44">
        <f t="shared" si="78"/>
        <v>0</v>
      </c>
    </row>
    <row r="137" spans="1:13" s="32" customFormat="1" ht="30" x14ac:dyDescent="0.25">
      <c r="A137" s="17">
        <v>33303</v>
      </c>
      <c r="B137" s="8" t="s">
        <v>173</v>
      </c>
      <c r="C137" s="44">
        <v>0</v>
      </c>
      <c r="D137" s="44">
        <v>0</v>
      </c>
      <c r="E137" s="44">
        <f t="shared" ref="E137" si="81">C137+D137</f>
        <v>0</v>
      </c>
      <c r="F137" s="44">
        <v>0</v>
      </c>
      <c r="G137" s="44">
        <f t="shared" ref="G137" si="82">E137-F137</f>
        <v>0</v>
      </c>
      <c r="H137" s="44">
        <f t="shared" ref="H137" si="83">F137</f>
        <v>0</v>
      </c>
      <c r="I137" s="44">
        <f t="shared" ref="I137" si="84">F137-H137</f>
        <v>0</v>
      </c>
      <c r="J137" s="44">
        <f t="shared" ref="J137" si="85">E137-H137</f>
        <v>0</v>
      </c>
      <c r="K137" s="44">
        <f t="shared" ref="K137" si="86">F137</f>
        <v>0</v>
      </c>
      <c r="L137" s="44">
        <f t="shared" ref="L137" si="87">K137</f>
        <v>0</v>
      </c>
      <c r="M137" s="44">
        <f t="shared" ref="M137" si="88">H137-L137</f>
        <v>0</v>
      </c>
    </row>
    <row r="138" spans="1:13" s="32" customFormat="1" ht="20.100000000000001" customHeight="1" x14ac:dyDescent="0.25">
      <c r="A138" s="17">
        <v>33401</v>
      </c>
      <c r="B138" s="8" t="s">
        <v>70</v>
      </c>
      <c r="C138" s="44">
        <v>2750000</v>
      </c>
      <c r="D138" s="44">
        <f>919179.55+200000-550000+1705.67</f>
        <v>570885.22000000009</v>
      </c>
      <c r="E138" s="44">
        <f t="shared" si="72"/>
        <v>3320885.22</v>
      </c>
      <c r="F138" s="44">
        <v>3320885.22</v>
      </c>
      <c r="G138" s="44">
        <f t="shared" si="73"/>
        <v>0</v>
      </c>
      <c r="H138" s="44">
        <f t="shared" si="74"/>
        <v>3320885.22</v>
      </c>
      <c r="I138" s="44">
        <f t="shared" si="75"/>
        <v>0</v>
      </c>
      <c r="J138" s="44">
        <f t="shared" si="76"/>
        <v>0</v>
      </c>
      <c r="K138" s="44">
        <f t="shared" si="77"/>
        <v>3320885.22</v>
      </c>
      <c r="L138" s="44">
        <f t="shared" si="31"/>
        <v>3320885.22</v>
      </c>
      <c r="M138" s="44">
        <f t="shared" si="78"/>
        <v>0</v>
      </c>
    </row>
    <row r="139" spans="1:13" s="32" customFormat="1" ht="20.100000000000001" customHeight="1" x14ac:dyDescent="0.25">
      <c r="A139" s="17">
        <v>33603</v>
      </c>
      <c r="B139" s="8" t="s">
        <v>81</v>
      </c>
      <c r="C139" s="44">
        <v>150000</v>
      </c>
      <c r="D139" s="44">
        <f>-150000</f>
        <v>-150000</v>
      </c>
      <c r="E139" s="44">
        <f t="shared" si="72"/>
        <v>0</v>
      </c>
      <c r="F139" s="44">
        <v>0</v>
      </c>
      <c r="G139" s="44">
        <f t="shared" si="73"/>
        <v>0</v>
      </c>
      <c r="H139" s="44">
        <f t="shared" si="74"/>
        <v>0</v>
      </c>
      <c r="I139" s="44">
        <f t="shared" si="75"/>
        <v>0</v>
      </c>
      <c r="J139" s="44">
        <f t="shared" si="76"/>
        <v>0</v>
      </c>
      <c r="K139" s="44">
        <f t="shared" si="77"/>
        <v>0</v>
      </c>
      <c r="L139" s="44">
        <f t="shared" si="31"/>
        <v>0</v>
      </c>
      <c r="M139" s="44">
        <f t="shared" si="78"/>
        <v>0</v>
      </c>
    </row>
    <row r="140" spans="1:13" s="32" customFormat="1" ht="20.100000000000001" customHeight="1" x14ac:dyDescent="0.25">
      <c r="A140" s="17">
        <v>33604</v>
      </c>
      <c r="B140" s="8" t="s">
        <v>170</v>
      </c>
      <c r="C140" s="44">
        <v>700000</v>
      </c>
      <c r="D140" s="44">
        <f>-200000-150800.6-46764.7-10450+36683.61</f>
        <v>-371331.69</v>
      </c>
      <c r="E140" s="44">
        <f t="shared" si="72"/>
        <v>328668.31</v>
      </c>
      <c r="F140" s="44">
        <v>328668.31</v>
      </c>
      <c r="G140" s="44">
        <f t="shared" si="73"/>
        <v>0</v>
      </c>
      <c r="H140" s="44">
        <f t="shared" si="74"/>
        <v>328668.31</v>
      </c>
      <c r="I140" s="44">
        <f t="shared" si="75"/>
        <v>0</v>
      </c>
      <c r="J140" s="44">
        <f t="shared" si="76"/>
        <v>0</v>
      </c>
      <c r="K140" s="44">
        <f t="shared" si="77"/>
        <v>328668.31</v>
      </c>
      <c r="L140" s="44">
        <f t="shared" si="31"/>
        <v>328668.31</v>
      </c>
      <c r="M140" s="44">
        <f t="shared" si="78"/>
        <v>0</v>
      </c>
    </row>
    <row r="141" spans="1:13" s="32" customFormat="1" ht="20.100000000000001" customHeight="1" x14ac:dyDescent="0.25">
      <c r="A141" s="17">
        <v>33801</v>
      </c>
      <c r="B141" s="8" t="s">
        <v>71</v>
      </c>
      <c r="C141" s="44">
        <v>0</v>
      </c>
      <c r="D141" s="44">
        <f>10000+348+20000-348-11020.79</f>
        <v>18979.21</v>
      </c>
      <c r="E141" s="44">
        <f t="shared" si="72"/>
        <v>18979.21</v>
      </c>
      <c r="F141" s="44">
        <v>18979.21</v>
      </c>
      <c r="G141" s="44">
        <f t="shared" si="73"/>
        <v>0</v>
      </c>
      <c r="H141" s="44">
        <f t="shared" si="74"/>
        <v>18979.21</v>
      </c>
      <c r="I141" s="44">
        <f t="shared" si="75"/>
        <v>0</v>
      </c>
      <c r="J141" s="44">
        <f t="shared" si="76"/>
        <v>0</v>
      </c>
      <c r="K141" s="44">
        <f t="shared" si="77"/>
        <v>18979.21</v>
      </c>
      <c r="L141" s="44">
        <f t="shared" si="31"/>
        <v>18979.21</v>
      </c>
      <c r="M141" s="44">
        <f t="shared" si="78"/>
        <v>0</v>
      </c>
    </row>
    <row r="142" spans="1:13" s="72" customFormat="1" ht="30" x14ac:dyDescent="0.25">
      <c r="A142" s="65">
        <v>3400</v>
      </c>
      <c r="B142" s="71" t="s">
        <v>209</v>
      </c>
      <c r="C142" s="64">
        <f>SUM(C143:C147)</f>
        <v>1130000</v>
      </c>
      <c r="D142" s="64">
        <f t="shared" ref="D142:M142" si="89">SUM(D143:D147)</f>
        <v>-664323.9</v>
      </c>
      <c r="E142" s="64">
        <f t="shared" si="89"/>
        <v>465676.10000000003</v>
      </c>
      <c r="F142" s="64">
        <f t="shared" si="89"/>
        <v>465676.10000000003</v>
      </c>
      <c r="G142" s="64">
        <f t="shared" si="89"/>
        <v>0</v>
      </c>
      <c r="H142" s="64">
        <f t="shared" si="89"/>
        <v>465676.10000000003</v>
      </c>
      <c r="I142" s="64">
        <f t="shared" si="89"/>
        <v>0</v>
      </c>
      <c r="J142" s="64">
        <f t="shared" si="89"/>
        <v>0</v>
      </c>
      <c r="K142" s="64">
        <f t="shared" si="89"/>
        <v>465676.10000000003</v>
      </c>
      <c r="L142" s="64">
        <f t="shared" si="89"/>
        <v>465676.10000000003</v>
      </c>
      <c r="M142" s="64">
        <f t="shared" si="89"/>
        <v>0</v>
      </c>
    </row>
    <row r="143" spans="1:13" s="32" customFormat="1" ht="20.100000000000001" customHeight="1" x14ac:dyDescent="0.25">
      <c r="A143" s="17">
        <v>34101</v>
      </c>
      <c r="B143" s="8" t="s">
        <v>72</v>
      </c>
      <c r="C143" s="44">
        <v>600000</v>
      </c>
      <c r="D143" s="44">
        <f>-150000-300000-150000</f>
        <v>-600000</v>
      </c>
      <c r="E143" s="44">
        <f t="shared" si="72"/>
        <v>0</v>
      </c>
      <c r="F143" s="44">
        <v>0</v>
      </c>
      <c r="G143" s="44">
        <f t="shared" si="73"/>
        <v>0</v>
      </c>
      <c r="H143" s="44">
        <f t="shared" si="74"/>
        <v>0</v>
      </c>
      <c r="I143" s="44">
        <f t="shared" si="75"/>
        <v>0</v>
      </c>
      <c r="J143" s="44">
        <f t="shared" si="76"/>
        <v>0</v>
      </c>
      <c r="K143" s="44">
        <f t="shared" si="77"/>
        <v>0</v>
      </c>
      <c r="L143" s="44">
        <f t="shared" si="31"/>
        <v>0</v>
      </c>
      <c r="M143" s="44">
        <f t="shared" si="78"/>
        <v>0</v>
      </c>
    </row>
    <row r="144" spans="1:13" s="32" customFormat="1" ht="20.100000000000001" customHeight="1" x14ac:dyDescent="0.25">
      <c r="A144" s="17">
        <v>34102</v>
      </c>
      <c r="B144" s="8" t="s">
        <v>166</v>
      </c>
      <c r="C144" s="44">
        <v>0</v>
      </c>
      <c r="D144" s="44">
        <f>206000+150000+30000-100000-4107.62</f>
        <v>281892.38</v>
      </c>
      <c r="E144" s="44">
        <f t="shared" si="72"/>
        <v>281892.38</v>
      </c>
      <c r="F144" s="44">
        <v>281892.38</v>
      </c>
      <c r="G144" s="44">
        <f t="shared" si="73"/>
        <v>0</v>
      </c>
      <c r="H144" s="44">
        <f t="shared" si="74"/>
        <v>281892.38</v>
      </c>
      <c r="I144" s="44">
        <f t="shared" si="75"/>
        <v>0</v>
      </c>
      <c r="J144" s="44">
        <f t="shared" si="76"/>
        <v>0</v>
      </c>
      <c r="K144" s="44">
        <f t="shared" si="77"/>
        <v>281892.38</v>
      </c>
      <c r="L144" s="44">
        <f t="shared" si="31"/>
        <v>281892.38</v>
      </c>
      <c r="M144" s="44">
        <f t="shared" si="78"/>
        <v>0</v>
      </c>
    </row>
    <row r="145" spans="1:13" s="32" customFormat="1" ht="20.100000000000001" customHeight="1" x14ac:dyDescent="0.25">
      <c r="A145" s="17">
        <v>34401</v>
      </c>
      <c r="B145" s="8" t="s">
        <v>180</v>
      </c>
      <c r="C145" s="44">
        <v>0</v>
      </c>
      <c r="D145" s="44">
        <v>0</v>
      </c>
      <c r="E145" s="44">
        <f t="shared" si="72"/>
        <v>0</v>
      </c>
      <c r="F145" s="44">
        <v>0</v>
      </c>
      <c r="G145" s="44">
        <f t="shared" si="73"/>
        <v>0</v>
      </c>
      <c r="H145" s="44">
        <f t="shared" si="74"/>
        <v>0</v>
      </c>
      <c r="I145" s="44">
        <f t="shared" si="75"/>
        <v>0</v>
      </c>
      <c r="J145" s="44">
        <f t="shared" si="76"/>
        <v>0</v>
      </c>
      <c r="K145" s="44">
        <f t="shared" si="77"/>
        <v>0</v>
      </c>
      <c r="L145" s="44">
        <f t="shared" si="31"/>
        <v>0</v>
      </c>
      <c r="M145" s="44">
        <f t="shared" si="78"/>
        <v>0</v>
      </c>
    </row>
    <row r="146" spans="1:13" s="32" customFormat="1" ht="20.100000000000001" customHeight="1" x14ac:dyDescent="0.25">
      <c r="A146" s="17">
        <v>34501</v>
      </c>
      <c r="B146" s="8" t="s">
        <v>73</v>
      </c>
      <c r="C146" s="44">
        <v>500000</v>
      </c>
      <c r="D146" s="44">
        <f>-250000-149885.57+5913.34</f>
        <v>-393972.23</v>
      </c>
      <c r="E146" s="44">
        <f t="shared" si="72"/>
        <v>106027.77000000002</v>
      </c>
      <c r="F146" s="44">
        <v>106027.77</v>
      </c>
      <c r="G146" s="44">
        <f t="shared" si="73"/>
        <v>0</v>
      </c>
      <c r="H146" s="44">
        <f t="shared" si="74"/>
        <v>106027.77</v>
      </c>
      <c r="I146" s="44">
        <f t="shared" si="75"/>
        <v>0</v>
      </c>
      <c r="J146" s="44">
        <f t="shared" si="76"/>
        <v>0</v>
      </c>
      <c r="K146" s="44">
        <f t="shared" si="77"/>
        <v>106027.77</v>
      </c>
      <c r="L146" s="44">
        <f t="shared" si="31"/>
        <v>106027.77</v>
      </c>
      <c r="M146" s="44">
        <f t="shared" si="78"/>
        <v>0</v>
      </c>
    </row>
    <row r="147" spans="1:13" s="32" customFormat="1" ht="20.100000000000001" customHeight="1" x14ac:dyDescent="0.25">
      <c r="A147" s="17">
        <v>34701</v>
      </c>
      <c r="B147" s="8" t="s">
        <v>74</v>
      </c>
      <c r="C147" s="44">
        <v>30000</v>
      </c>
      <c r="D147" s="44">
        <f>100000-20000-29216-3028.05</f>
        <v>47755.95</v>
      </c>
      <c r="E147" s="44">
        <f t="shared" si="72"/>
        <v>77755.95</v>
      </c>
      <c r="F147" s="44">
        <v>77755.95</v>
      </c>
      <c r="G147" s="44">
        <f t="shared" si="73"/>
        <v>0</v>
      </c>
      <c r="H147" s="44">
        <f t="shared" si="74"/>
        <v>77755.95</v>
      </c>
      <c r="I147" s="44">
        <f t="shared" si="75"/>
        <v>0</v>
      </c>
      <c r="J147" s="44">
        <f t="shared" si="76"/>
        <v>0</v>
      </c>
      <c r="K147" s="44">
        <f t="shared" si="77"/>
        <v>77755.95</v>
      </c>
      <c r="L147" s="44">
        <f t="shared" si="31"/>
        <v>77755.95</v>
      </c>
      <c r="M147" s="44">
        <f t="shared" si="78"/>
        <v>0</v>
      </c>
    </row>
    <row r="148" spans="1:13" s="72" customFormat="1" ht="30" x14ac:dyDescent="0.25">
      <c r="A148" s="65">
        <v>3500</v>
      </c>
      <c r="B148" s="71" t="s">
        <v>210</v>
      </c>
      <c r="C148" s="64">
        <f t="shared" ref="C148:M148" si="90">SUM(C149:C157)</f>
        <v>2700000</v>
      </c>
      <c r="D148" s="64">
        <f t="shared" si="90"/>
        <v>483899.71999999991</v>
      </c>
      <c r="E148" s="64">
        <f t="shared" si="90"/>
        <v>3183899.7199999997</v>
      </c>
      <c r="F148" s="64">
        <f t="shared" si="90"/>
        <v>3183899.7199999997</v>
      </c>
      <c r="G148" s="64">
        <f t="shared" si="90"/>
        <v>0</v>
      </c>
      <c r="H148" s="64">
        <f t="shared" si="90"/>
        <v>3183899.7199999997</v>
      </c>
      <c r="I148" s="64">
        <f t="shared" si="90"/>
        <v>0</v>
      </c>
      <c r="J148" s="64">
        <f t="shared" si="90"/>
        <v>0</v>
      </c>
      <c r="K148" s="64">
        <f t="shared" si="90"/>
        <v>3183899.7199999997</v>
      </c>
      <c r="L148" s="64">
        <f t="shared" si="90"/>
        <v>3183899.7199999997</v>
      </c>
      <c r="M148" s="64">
        <f t="shared" si="90"/>
        <v>0</v>
      </c>
    </row>
    <row r="149" spans="1:13" s="32" customFormat="1" ht="30" x14ac:dyDescent="0.25">
      <c r="A149" s="17">
        <v>35101</v>
      </c>
      <c r="B149" s="8" t="s">
        <v>75</v>
      </c>
      <c r="C149" s="44">
        <v>1750000</v>
      </c>
      <c r="D149" s="44">
        <f>250000+300000-70184.96</f>
        <v>479815.04</v>
      </c>
      <c r="E149" s="44">
        <f t="shared" si="72"/>
        <v>2229815.04</v>
      </c>
      <c r="F149" s="44">
        <v>2229815.04</v>
      </c>
      <c r="G149" s="44">
        <f t="shared" si="73"/>
        <v>0</v>
      </c>
      <c r="H149" s="44">
        <f t="shared" si="74"/>
        <v>2229815.04</v>
      </c>
      <c r="I149" s="44">
        <f t="shared" si="75"/>
        <v>0</v>
      </c>
      <c r="J149" s="44">
        <f t="shared" si="76"/>
        <v>0</v>
      </c>
      <c r="K149" s="44">
        <f t="shared" si="77"/>
        <v>2229815.04</v>
      </c>
      <c r="L149" s="44">
        <f t="shared" si="31"/>
        <v>2229815.04</v>
      </c>
      <c r="M149" s="44">
        <f t="shared" si="78"/>
        <v>0</v>
      </c>
    </row>
    <row r="150" spans="1:13" s="32" customFormat="1" ht="33" customHeight="1" x14ac:dyDescent="0.25">
      <c r="A150" s="17">
        <v>35201</v>
      </c>
      <c r="B150" s="8" t="s">
        <v>76</v>
      </c>
      <c r="C150" s="44">
        <v>200000</v>
      </c>
      <c r="D150" s="44">
        <f>20000-107119.72</f>
        <v>-87119.72</v>
      </c>
      <c r="E150" s="44">
        <f t="shared" si="72"/>
        <v>112880.28</v>
      </c>
      <c r="F150" s="44">
        <v>112880.28</v>
      </c>
      <c r="G150" s="44">
        <f t="shared" si="73"/>
        <v>0</v>
      </c>
      <c r="H150" s="44">
        <f t="shared" si="74"/>
        <v>112880.28</v>
      </c>
      <c r="I150" s="44">
        <f t="shared" si="75"/>
        <v>0</v>
      </c>
      <c r="J150" s="44">
        <f t="shared" si="76"/>
        <v>0</v>
      </c>
      <c r="K150" s="44">
        <f t="shared" si="77"/>
        <v>112880.28</v>
      </c>
      <c r="L150" s="44">
        <f t="shared" si="31"/>
        <v>112880.28</v>
      </c>
      <c r="M150" s="44">
        <f t="shared" si="78"/>
        <v>0</v>
      </c>
    </row>
    <row r="151" spans="1:13" s="32" customFormat="1" ht="30.75" customHeight="1" x14ac:dyDescent="0.25">
      <c r="A151" s="17">
        <v>35301</v>
      </c>
      <c r="B151" s="8" t="s">
        <v>77</v>
      </c>
      <c r="C151" s="44">
        <v>150000</v>
      </c>
      <c r="D151" s="44">
        <f>300000-30000-102824.66</f>
        <v>167175.34</v>
      </c>
      <c r="E151" s="44">
        <f t="shared" si="72"/>
        <v>317175.33999999997</v>
      </c>
      <c r="F151" s="44">
        <v>317175.34000000003</v>
      </c>
      <c r="G151" s="44">
        <f t="shared" si="73"/>
        <v>0</v>
      </c>
      <c r="H151" s="44">
        <f t="shared" si="74"/>
        <v>317175.34000000003</v>
      </c>
      <c r="I151" s="44">
        <f t="shared" si="75"/>
        <v>0</v>
      </c>
      <c r="J151" s="44">
        <f t="shared" si="76"/>
        <v>0</v>
      </c>
      <c r="K151" s="44">
        <f t="shared" si="77"/>
        <v>317175.34000000003</v>
      </c>
      <c r="L151" s="44">
        <f t="shared" si="31"/>
        <v>317175.34000000003</v>
      </c>
      <c r="M151" s="44">
        <f t="shared" si="78"/>
        <v>0</v>
      </c>
    </row>
    <row r="152" spans="1:13" s="32" customFormat="1" ht="30.75" customHeight="1" x14ac:dyDescent="0.25">
      <c r="A152" s="17">
        <v>35401</v>
      </c>
      <c r="B152" s="8" t="s">
        <v>177</v>
      </c>
      <c r="C152" s="44">
        <v>0</v>
      </c>
      <c r="D152" s="44">
        <v>0</v>
      </c>
      <c r="E152" s="44">
        <f t="shared" si="72"/>
        <v>0</v>
      </c>
      <c r="F152" s="44">
        <v>0</v>
      </c>
      <c r="G152" s="44">
        <f t="shared" si="73"/>
        <v>0</v>
      </c>
      <c r="H152" s="44">
        <f t="shared" si="74"/>
        <v>0</v>
      </c>
      <c r="I152" s="44">
        <f t="shared" si="75"/>
        <v>0</v>
      </c>
      <c r="J152" s="44">
        <f t="shared" si="76"/>
        <v>0</v>
      </c>
      <c r="K152" s="44">
        <f t="shared" si="77"/>
        <v>0</v>
      </c>
      <c r="L152" s="44">
        <f t="shared" si="31"/>
        <v>0</v>
      </c>
      <c r="M152" s="44">
        <f t="shared" si="78"/>
        <v>0</v>
      </c>
    </row>
    <row r="153" spans="1:13" s="32" customFormat="1" ht="45" x14ac:dyDescent="0.25">
      <c r="A153" s="17">
        <v>35501</v>
      </c>
      <c r="B153" s="8" t="s">
        <v>78</v>
      </c>
      <c r="C153" s="44">
        <v>300000</v>
      </c>
      <c r="D153" s="44">
        <v>-160739.06</v>
      </c>
      <c r="E153" s="44">
        <f t="shared" si="72"/>
        <v>139260.94</v>
      </c>
      <c r="F153" s="44">
        <v>139260.94</v>
      </c>
      <c r="G153" s="44">
        <f t="shared" si="73"/>
        <v>0</v>
      </c>
      <c r="H153" s="44">
        <f t="shared" si="74"/>
        <v>139260.94</v>
      </c>
      <c r="I153" s="44">
        <f t="shared" si="75"/>
        <v>0</v>
      </c>
      <c r="J153" s="44">
        <f t="shared" si="76"/>
        <v>0</v>
      </c>
      <c r="K153" s="44">
        <f t="shared" si="77"/>
        <v>139260.94</v>
      </c>
      <c r="L153" s="44">
        <f t="shared" si="31"/>
        <v>139260.94</v>
      </c>
      <c r="M153" s="44">
        <f t="shared" si="78"/>
        <v>0</v>
      </c>
    </row>
    <row r="154" spans="1:13" s="32" customFormat="1" ht="30" x14ac:dyDescent="0.25">
      <c r="A154" s="17">
        <v>35701</v>
      </c>
      <c r="B154" s="8" t="s">
        <v>236</v>
      </c>
      <c r="C154" s="44">
        <v>0</v>
      </c>
      <c r="D154" s="44">
        <f>20000-20000+3364</f>
        <v>3364</v>
      </c>
      <c r="E154" s="44">
        <f t="shared" si="72"/>
        <v>3364</v>
      </c>
      <c r="F154" s="44">
        <v>3364</v>
      </c>
      <c r="G154" s="44">
        <f t="shared" si="73"/>
        <v>0</v>
      </c>
      <c r="H154" s="44">
        <f t="shared" si="74"/>
        <v>3364</v>
      </c>
      <c r="I154" s="44">
        <f t="shared" si="75"/>
        <v>0</v>
      </c>
      <c r="J154" s="44">
        <f t="shared" si="76"/>
        <v>0</v>
      </c>
      <c r="K154" s="44">
        <f t="shared" si="77"/>
        <v>3364</v>
      </c>
      <c r="L154" s="44">
        <f t="shared" si="31"/>
        <v>3364</v>
      </c>
      <c r="M154" s="44">
        <f t="shared" si="78"/>
        <v>0</v>
      </c>
    </row>
    <row r="155" spans="1:13" s="32" customFormat="1" ht="30" x14ac:dyDescent="0.25">
      <c r="A155" s="17">
        <v>35703</v>
      </c>
      <c r="B155" s="8" t="s">
        <v>79</v>
      </c>
      <c r="C155" s="44">
        <v>0</v>
      </c>
      <c r="D155" s="44">
        <v>0</v>
      </c>
      <c r="E155" s="44">
        <f t="shared" ref="E155" si="91">C155+D155</f>
        <v>0</v>
      </c>
      <c r="F155" s="44">
        <v>0</v>
      </c>
      <c r="G155" s="44">
        <f t="shared" ref="G155" si="92">E155-F155</f>
        <v>0</v>
      </c>
      <c r="H155" s="44">
        <f t="shared" ref="H155" si="93">F155</f>
        <v>0</v>
      </c>
      <c r="I155" s="44">
        <f t="shared" ref="I155" si="94">F155-H155</f>
        <v>0</v>
      </c>
      <c r="J155" s="44">
        <f t="shared" ref="J155" si="95">E155-H155</f>
        <v>0</v>
      </c>
      <c r="K155" s="44">
        <f t="shared" ref="K155" si="96">F155</f>
        <v>0</v>
      </c>
      <c r="L155" s="44">
        <f t="shared" ref="L155" si="97">K155</f>
        <v>0</v>
      </c>
      <c r="M155" s="44">
        <f t="shared" ref="M155" si="98">H155-L155</f>
        <v>0</v>
      </c>
    </row>
    <row r="156" spans="1:13" s="32" customFormat="1" ht="18.95" customHeight="1" x14ac:dyDescent="0.25">
      <c r="A156" s="17">
        <v>35801</v>
      </c>
      <c r="B156" s="8" t="s">
        <v>93</v>
      </c>
      <c r="C156" s="44">
        <v>0</v>
      </c>
      <c r="D156" s="44">
        <f>5000-3576.5</f>
        <v>1423.5</v>
      </c>
      <c r="E156" s="44">
        <f t="shared" si="72"/>
        <v>1423.5</v>
      </c>
      <c r="F156" s="44">
        <v>1423.5</v>
      </c>
      <c r="G156" s="44">
        <f t="shared" si="73"/>
        <v>0</v>
      </c>
      <c r="H156" s="44">
        <f t="shared" si="74"/>
        <v>1423.5</v>
      </c>
      <c r="I156" s="44">
        <f t="shared" si="75"/>
        <v>0</v>
      </c>
      <c r="J156" s="44">
        <f t="shared" si="76"/>
        <v>0</v>
      </c>
      <c r="K156" s="44">
        <f t="shared" si="77"/>
        <v>1423.5</v>
      </c>
      <c r="L156" s="44">
        <f t="shared" si="31"/>
        <v>1423.5</v>
      </c>
      <c r="M156" s="44">
        <f t="shared" si="78"/>
        <v>0</v>
      </c>
    </row>
    <row r="157" spans="1:13" s="32" customFormat="1" ht="18.95" customHeight="1" x14ac:dyDescent="0.25">
      <c r="A157" s="17">
        <v>35901</v>
      </c>
      <c r="B157" s="8" t="s">
        <v>80</v>
      </c>
      <c r="C157" s="44">
        <v>300000</v>
      </c>
      <c r="D157" s="44">
        <f>192766-30000-82785.38</f>
        <v>79980.62</v>
      </c>
      <c r="E157" s="44">
        <f t="shared" si="72"/>
        <v>379980.62</v>
      </c>
      <c r="F157" s="44">
        <v>379980.62</v>
      </c>
      <c r="G157" s="44">
        <f t="shared" si="73"/>
        <v>0</v>
      </c>
      <c r="H157" s="44">
        <f t="shared" si="74"/>
        <v>379980.62</v>
      </c>
      <c r="I157" s="44">
        <f t="shared" si="75"/>
        <v>0</v>
      </c>
      <c r="J157" s="44">
        <f t="shared" si="76"/>
        <v>0</v>
      </c>
      <c r="K157" s="44">
        <f t="shared" si="77"/>
        <v>379980.62</v>
      </c>
      <c r="L157" s="44">
        <f t="shared" si="31"/>
        <v>379980.62</v>
      </c>
      <c r="M157" s="44">
        <f t="shared" si="78"/>
        <v>0</v>
      </c>
    </row>
    <row r="158" spans="1:13" s="72" customFormat="1" ht="30" x14ac:dyDescent="0.25">
      <c r="A158" s="65">
        <v>3600</v>
      </c>
      <c r="B158" s="71" t="s">
        <v>211</v>
      </c>
      <c r="C158" s="64">
        <f t="shared" ref="C158:M158" si="99">SUM(C159:C160)</f>
        <v>50000</v>
      </c>
      <c r="D158" s="64">
        <f t="shared" si="99"/>
        <v>103485.72</v>
      </c>
      <c r="E158" s="64">
        <f t="shared" si="99"/>
        <v>153485.72</v>
      </c>
      <c r="F158" s="64">
        <f t="shared" si="99"/>
        <v>153485.72</v>
      </c>
      <c r="G158" s="64">
        <f t="shared" si="99"/>
        <v>0</v>
      </c>
      <c r="H158" s="64">
        <f t="shared" si="99"/>
        <v>153485.72</v>
      </c>
      <c r="I158" s="64">
        <f t="shared" si="99"/>
        <v>0</v>
      </c>
      <c r="J158" s="64">
        <f t="shared" si="99"/>
        <v>0</v>
      </c>
      <c r="K158" s="64">
        <f t="shared" si="99"/>
        <v>153485.72</v>
      </c>
      <c r="L158" s="64">
        <f t="shared" si="99"/>
        <v>153485.72</v>
      </c>
      <c r="M158" s="64">
        <f t="shared" si="99"/>
        <v>0</v>
      </c>
    </row>
    <row r="159" spans="1:13" s="32" customFormat="1" ht="30" x14ac:dyDescent="0.25">
      <c r="A159" s="17">
        <v>36101</v>
      </c>
      <c r="B159" s="8" t="s">
        <v>159</v>
      </c>
      <c r="C159" s="44">
        <v>50000</v>
      </c>
      <c r="D159" s="44">
        <f>70000+73481.72-50000+2000</f>
        <v>95481.72</v>
      </c>
      <c r="E159" s="44">
        <f t="shared" ref="E159" si="100">C159+D159</f>
        <v>145481.72</v>
      </c>
      <c r="F159" s="44">
        <v>145481.72</v>
      </c>
      <c r="G159" s="44">
        <f t="shared" ref="G159" si="101">E159-F159</f>
        <v>0</v>
      </c>
      <c r="H159" s="44">
        <f t="shared" ref="H159" si="102">F159</f>
        <v>145481.72</v>
      </c>
      <c r="I159" s="44">
        <f t="shared" ref="I159" si="103">F159-H159</f>
        <v>0</v>
      </c>
      <c r="J159" s="44">
        <f t="shared" ref="J159" si="104">E159-H159</f>
        <v>0</v>
      </c>
      <c r="K159" s="44">
        <f t="shared" ref="K159" si="105">F159</f>
        <v>145481.72</v>
      </c>
      <c r="L159" s="44">
        <f t="shared" ref="L159" si="106">K159</f>
        <v>145481.72</v>
      </c>
      <c r="M159" s="44">
        <f t="shared" ref="M159" si="107">H159-L159</f>
        <v>0</v>
      </c>
    </row>
    <row r="160" spans="1:13" s="32" customFormat="1" ht="30" x14ac:dyDescent="0.25">
      <c r="A160" s="17">
        <v>36901</v>
      </c>
      <c r="B160" s="8" t="s">
        <v>238</v>
      </c>
      <c r="C160" s="44">
        <v>0</v>
      </c>
      <c r="D160" s="44">
        <v>8004</v>
      </c>
      <c r="E160" s="44">
        <f t="shared" si="72"/>
        <v>8004</v>
      </c>
      <c r="F160" s="44">
        <v>8004</v>
      </c>
      <c r="G160" s="44">
        <f t="shared" si="73"/>
        <v>0</v>
      </c>
      <c r="H160" s="44">
        <f t="shared" si="74"/>
        <v>8004</v>
      </c>
      <c r="I160" s="44">
        <f t="shared" si="75"/>
        <v>0</v>
      </c>
      <c r="J160" s="44">
        <f t="shared" si="76"/>
        <v>0</v>
      </c>
      <c r="K160" s="44">
        <f t="shared" si="77"/>
        <v>8004</v>
      </c>
      <c r="L160" s="44">
        <f t="shared" si="31"/>
        <v>8004</v>
      </c>
      <c r="M160" s="44">
        <f t="shared" si="78"/>
        <v>0</v>
      </c>
    </row>
    <row r="161" spans="1:13" s="72" customFormat="1" ht="21.95" customHeight="1" x14ac:dyDescent="0.25">
      <c r="A161" s="65">
        <v>3700</v>
      </c>
      <c r="B161" s="71" t="s">
        <v>212</v>
      </c>
      <c r="C161" s="64">
        <f>SUM(C162:C166)</f>
        <v>2091905</v>
      </c>
      <c r="D161" s="64">
        <f t="shared" ref="D161:M161" si="108">SUM(D162:D166)</f>
        <v>568621.60000000009</v>
      </c>
      <c r="E161" s="64">
        <f t="shared" si="108"/>
        <v>2660526.6</v>
      </c>
      <c r="F161" s="64">
        <f t="shared" si="108"/>
        <v>2660526.6</v>
      </c>
      <c r="G161" s="64">
        <f t="shared" si="108"/>
        <v>0</v>
      </c>
      <c r="H161" s="64">
        <f t="shared" si="108"/>
        <v>2660526.6</v>
      </c>
      <c r="I161" s="64">
        <f t="shared" si="108"/>
        <v>0</v>
      </c>
      <c r="J161" s="64">
        <f t="shared" si="108"/>
        <v>0</v>
      </c>
      <c r="K161" s="64">
        <f t="shared" si="108"/>
        <v>2660526.6</v>
      </c>
      <c r="L161" s="64">
        <f t="shared" si="108"/>
        <v>1475526.6</v>
      </c>
      <c r="M161" s="64">
        <f t="shared" si="108"/>
        <v>1185000</v>
      </c>
    </row>
    <row r="162" spans="1:13" s="32" customFormat="1" ht="45" x14ac:dyDescent="0.25">
      <c r="A162" s="17">
        <v>37201</v>
      </c>
      <c r="B162" s="8" t="s">
        <v>82</v>
      </c>
      <c r="C162" s="44">
        <v>300000</v>
      </c>
      <c r="D162" s="44">
        <f>-70000-90000-92714.48</f>
        <v>-252714.47999999998</v>
      </c>
      <c r="E162" s="44">
        <f t="shared" si="72"/>
        <v>47285.520000000019</v>
      </c>
      <c r="F162" s="44">
        <v>47285.52</v>
      </c>
      <c r="G162" s="44">
        <f t="shared" si="73"/>
        <v>0</v>
      </c>
      <c r="H162" s="44">
        <f t="shared" si="74"/>
        <v>47285.52</v>
      </c>
      <c r="I162" s="44">
        <f t="shared" si="75"/>
        <v>0</v>
      </c>
      <c r="J162" s="44">
        <f t="shared" si="76"/>
        <v>0</v>
      </c>
      <c r="K162" s="44">
        <f t="shared" si="77"/>
        <v>47285.52</v>
      </c>
      <c r="L162" s="44">
        <f t="shared" si="31"/>
        <v>47285.52</v>
      </c>
      <c r="M162" s="44">
        <f t="shared" si="78"/>
        <v>0</v>
      </c>
    </row>
    <row r="163" spans="1:13" s="32" customFormat="1" ht="20.100000000000001" customHeight="1" x14ac:dyDescent="0.25">
      <c r="A163" s="17">
        <v>37207</v>
      </c>
      <c r="B163" s="8" t="s">
        <v>251</v>
      </c>
      <c r="C163" s="44">
        <v>0</v>
      </c>
      <c r="D163" s="44">
        <v>1185000</v>
      </c>
      <c r="E163" s="44">
        <f t="shared" si="72"/>
        <v>1185000</v>
      </c>
      <c r="F163" s="44">
        <v>1185000</v>
      </c>
      <c r="G163" s="44">
        <f t="shared" si="73"/>
        <v>0</v>
      </c>
      <c r="H163" s="44">
        <f t="shared" si="74"/>
        <v>1185000</v>
      </c>
      <c r="I163" s="44">
        <f t="shared" si="75"/>
        <v>0</v>
      </c>
      <c r="J163" s="44">
        <f t="shared" si="76"/>
        <v>0</v>
      </c>
      <c r="K163" s="44">
        <f t="shared" si="77"/>
        <v>1185000</v>
      </c>
      <c r="L163" s="44">
        <v>0</v>
      </c>
      <c r="M163" s="44">
        <f t="shared" si="78"/>
        <v>1185000</v>
      </c>
    </row>
    <row r="164" spans="1:13" s="32" customFormat="1" ht="20.100000000000001" customHeight="1" x14ac:dyDescent="0.25">
      <c r="A164" s="17">
        <v>37208</v>
      </c>
      <c r="B164" s="8" t="s">
        <v>239</v>
      </c>
      <c r="C164" s="44">
        <v>0</v>
      </c>
      <c r="D164" s="44">
        <f>20000+6987.13+71547.59</f>
        <v>98534.720000000001</v>
      </c>
      <c r="E164" s="44">
        <f t="shared" ref="E164" si="109">C164+D164</f>
        <v>98534.720000000001</v>
      </c>
      <c r="F164" s="44">
        <v>98534.720000000001</v>
      </c>
      <c r="G164" s="44">
        <f t="shared" ref="G164" si="110">E164-F164</f>
        <v>0</v>
      </c>
      <c r="H164" s="44">
        <f t="shared" ref="H164" si="111">F164</f>
        <v>98534.720000000001</v>
      </c>
      <c r="I164" s="44">
        <f t="shared" ref="I164" si="112">F164-H164</f>
        <v>0</v>
      </c>
      <c r="J164" s="44">
        <f t="shared" ref="J164" si="113">E164-H164</f>
        <v>0</v>
      </c>
      <c r="K164" s="44">
        <f t="shared" ref="K164" si="114">F164</f>
        <v>98534.720000000001</v>
      </c>
      <c r="L164" s="44">
        <f t="shared" ref="L164" si="115">K164</f>
        <v>98534.720000000001</v>
      </c>
      <c r="M164" s="44">
        <f t="shared" ref="M164" si="116">H164-L164</f>
        <v>0</v>
      </c>
    </row>
    <row r="165" spans="1:13" s="32" customFormat="1" ht="20.100000000000001" customHeight="1" x14ac:dyDescent="0.25">
      <c r="A165" s="17">
        <v>37209</v>
      </c>
      <c r="B165" s="8" t="s">
        <v>240</v>
      </c>
      <c r="C165" s="44">
        <v>0</v>
      </c>
      <c r="D165" s="44">
        <f>50000+99278.88</f>
        <v>149278.88</v>
      </c>
      <c r="E165" s="44">
        <f t="shared" ref="E165" si="117">C165+D165</f>
        <v>149278.88</v>
      </c>
      <c r="F165" s="44">
        <v>149278.88</v>
      </c>
      <c r="G165" s="44">
        <f t="shared" ref="G165" si="118">E165-F165</f>
        <v>0</v>
      </c>
      <c r="H165" s="44">
        <f t="shared" ref="H165" si="119">F165</f>
        <v>149278.88</v>
      </c>
      <c r="I165" s="44">
        <f t="shared" ref="I165" si="120">F165-H165</f>
        <v>0</v>
      </c>
      <c r="J165" s="44">
        <f t="shared" ref="J165" si="121">E165-H165</f>
        <v>0</v>
      </c>
      <c r="K165" s="44">
        <f t="shared" ref="K165" si="122">F165</f>
        <v>149278.88</v>
      </c>
      <c r="L165" s="44">
        <f t="shared" ref="L165" si="123">K165</f>
        <v>149278.88</v>
      </c>
      <c r="M165" s="44">
        <f t="shared" ref="M165" si="124">H165-L165</f>
        <v>0</v>
      </c>
    </row>
    <row r="166" spans="1:13" s="32" customFormat="1" ht="20.100000000000001" customHeight="1" x14ac:dyDescent="0.25">
      <c r="A166" s="17">
        <v>37501</v>
      </c>
      <c r="B166" s="8" t="s">
        <v>142</v>
      </c>
      <c r="C166" s="44">
        <v>1791905</v>
      </c>
      <c r="D166" s="44">
        <f>-500000-200000+88522.48</f>
        <v>-611477.52</v>
      </c>
      <c r="E166" s="44">
        <f t="shared" si="72"/>
        <v>1180427.48</v>
      </c>
      <c r="F166" s="44">
        <v>1180427.48</v>
      </c>
      <c r="G166" s="44">
        <f t="shared" si="73"/>
        <v>0</v>
      </c>
      <c r="H166" s="44">
        <f t="shared" si="74"/>
        <v>1180427.48</v>
      </c>
      <c r="I166" s="44">
        <f t="shared" si="75"/>
        <v>0</v>
      </c>
      <c r="J166" s="44">
        <f t="shared" si="76"/>
        <v>0</v>
      </c>
      <c r="K166" s="44">
        <f t="shared" si="77"/>
        <v>1180427.48</v>
      </c>
      <c r="L166" s="44">
        <f t="shared" si="31"/>
        <v>1180427.48</v>
      </c>
      <c r="M166" s="44">
        <f t="shared" si="78"/>
        <v>0</v>
      </c>
    </row>
    <row r="167" spans="1:13" s="72" customFormat="1" ht="21.95" customHeight="1" x14ac:dyDescent="0.25">
      <c r="A167" s="65">
        <v>3800</v>
      </c>
      <c r="B167" s="71" t="s">
        <v>213</v>
      </c>
      <c r="C167" s="64">
        <f>SUM(C168:C171)</f>
        <v>4000000</v>
      </c>
      <c r="D167" s="64">
        <f t="shared" ref="D167:M167" si="125">SUM(D168:D171)</f>
        <v>-2829086.7800000003</v>
      </c>
      <c r="E167" s="64">
        <f t="shared" si="125"/>
        <v>1170913.22</v>
      </c>
      <c r="F167" s="64">
        <f t="shared" si="125"/>
        <v>1170913.22</v>
      </c>
      <c r="G167" s="64">
        <f t="shared" si="125"/>
        <v>0</v>
      </c>
      <c r="H167" s="64">
        <f t="shared" si="125"/>
        <v>1170913.22</v>
      </c>
      <c r="I167" s="64">
        <f t="shared" si="125"/>
        <v>0</v>
      </c>
      <c r="J167" s="64">
        <f t="shared" si="125"/>
        <v>0</v>
      </c>
      <c r="K167" s="64">
        <f t="shared" si="125"/>
        <v>1170913.22</v>
      </c>
      <c r="L167" s="64">
        <f t="shared" si="125"/>
        <v>1170913.22</v>
      </c>
      <c r="M167" s="64">
        <f t="shared" si="125"/>
        <v>0</v>
      </c>
    </row>
    <row r="168" spans="1:13" s="32" customFormat="1" ht="20.100000000000001" customHeight="1" x14ac:dyDescent="0.25">
      <c r="A168" s="17">
        <v>38201</v>
      </c>
      <c r="B168" s="8" t="s">
        <v>83</v>
      </c>
      <c r="C168" s="44">
        <v>100000</v>
      </c>
      <c r="D168" s="44">
        <f>-100000+1392</f>
        <v>-98608</v>
      </c>
      <c r="E168" s="44">
        <f t="shared" si="72"/>
        <v>1392</v>
      </c>
      <c r="F168" s="44">
        <v>1392</v>
      </c>
      <c r="G168" s="44">
        <f t="shared" si="73"/>
        <v>0</v>
      </c>
      <c r="H168" s="44">
        <f t="shared" si="74"/>
        <v>1392</v>
      </c>
      <c r="I168" s="44">
        <f t="shared" si="75"/>
        <v>0</v>
      </c>
      <c r="J168" s="44">
        <f t="shared" si="76"/>
        <v>0</v>
      </c>
      <c r="K168" s="44">
        <f t="shared" si="77"/>
        <v>1392</v>
      </c>
      <c r="L168" s="44">
        <f t="shared" si="31"/>
        <v>1392</v>
      </c>
      <c r="M168" s="44">
        <f t="shared" si="78"/>
        <v>0</v>
      </c>
    </row>
    <row r="169" spans="1:13" s="32" customFormat="1" ht="20.100000000000001" customHeight="1" x14ac:dyDescent="0.25">
      <c r="A169" s="17">
        <v>38301</v>
      </c>
      <c r="B169" s="8" t="s">
        <v>84</v>
      </c>
      <c r="C169" s="44">
        <v>1400000</v>
      </c>
      <c r="D169" s="44">
        <f>-1100000-140768.6+173001.6</f>
        <v>-1067767</v>
      </c>
      <c r="E169" s="44">
        <f t="shared" si="72"/>
        <v>332233</v>
      </c>
      <c r="F169" s="44">
        <v>332233</v>
      </c>
      <c r="G169" s="44">
        <f t="shared" si="73"/>
        <v>0</v>
      </c>
      <c r="H169" s="44">
        <f t="shared" si="74"/>
        <v>332233</v>
      </c>
      <c r="I169" s="44">
        <f t="shared" si="75"/>
        <v>0</v>
      </c>
      <c r="J169" s="44">
        <f t="shared" si="76"/>
        <v>0</v>
      </c>
      <c r="K169" s="44">
        <f t="shared" si="77"/>
        <v>332233</v>
      </c>
      <c r="L169" s="44">
        <f t="shared" ref="L169:L175" si="126">K169</f>
        <v>332233</v>
      </c>
      <c r="M169" s="44">
        <f t="shared" si="78"/>
        <v>0</v>
      </c>
    </row>
    <row r="170" spans="1:13" s="32" customFormat="1" ht="20.100000000000001" customHeight="1" x14ac:dyDescent="0.25">
      <c r="A170" s="17">
        <v>38401</v>
      </c>
      <c r="B170" s="8" t="s">
        <v>172</v>
      </c>
      <c r="C170" s="44">
        <v>2500000</v>
      </c>
      <c r="D170" s="44">
        <f>-600000-1000000+100000+13444.4-176156.18</f>
        <v>-1662711.78</v>
      </c>
      <c r="E170" s="44">
        <f t="shared" si="72"/>
        <v>837288.22</v>
      </c>
      <c r="F170" s="44">
        <v>837288.22</v>
      </c>
      <c r="G170" s="44">
        <f t="shared" si="73"/>
        <v>0</v>
      </c>
      <c r="H170" s="44">
        <f t="shared" si="74"/>
        <v>837288.22</v>
      </c>
      <c r="I170" s="44">
        <f t="shared" si="75"/>
        <v>0</v>
      </c>
      <c r="J170" s="44">
        <f t="shared" si="76"/>
        <v>0</v>
      </c>
      <c r="K170" s="44">
        <f t="shared" si="77"/>
        <v>837288.22</v>
      </c>
      <c r="L170" s="44">
        <f t="shared" si="126"/>
        <v>837288.22</v>
      </c>
      <c r="M170" s="44">
        <f t="shared" si="78"/>
        <v>0</v>
      </c>
    </row>
    <row r="171" spans="1:13" s="32" customFormat="1" ht="20.100000000000001" customHeight="1" x14ac:dyDescent="0.25">
      <c r="A171" s="17">
        <v>38501</v>
      </c>
      <c r="B171" s="8" t="s">
        <v>85</v>
      </c>
      <c r="C171" s="44">
        <v>0</v>
      </c>
      <c r="D171" s="44">
        <v>0</v>
      </c>
      <c r="E171" s="44">
        <f t="shared" si="72"/>
        <v>0</v>
      </c>
      <c r="F171" s="44">
        <v>0</v>
      </c>
      <c r="G171" s="44">
        <f t="shared" si="73"/>
        <v>0</v>
      </c>
      <c r="H171" s="44">
        <f t="shared" si="74"/>
        <v>0</v>
      </c>
      <c r="I171" s="44">
        <f t="shared" si="75"/>
        <v>0</v>
      </c>
      <c r="J171" s="44">
        <f t="shared" si="76"/>
        <v>0</v>
      </c>
      <c r="K171" s="44">
        <f t="shared" si="77"/>
        <v>0</v>
      </c>
      <c r="L171" s="44">
        <f t="shared" si="126"/>
        <v>0</v>
      </c>
      <c r="M171" s="44">
        <f t="shared" si="78"/>
        <v>0</v>
      </c>
    </row>
    <row r="172" spans="1:13" s="72" customFormat="1" ht="21.95" customHeight="1" x14ac:dyDescent="0.25">
      <c r="A172" s="65">
        <v>3900</v>
      </c>
      <c r="B172" s="71" t="s">
        <v>214</v>
      </c>
      <c r="C172" s="64">
        <f t="shared" ref="C172:M172" si="127">SUM(C173:C177)</f>
        <v>26773660</v>
      </c>
      <c r="D172" s="64">
        <f t="shared" si="127"/>
        <v>-8108064.9699999997</v>
      </c>
      <c r="E172" s="64">
        <f t="shared" si="127"/>
        <v>18665595.030000001</v>
      </c>
      <c r="F172" s="64">
        <f t="shared" si="127"/>
        <v>43217036.840000004</v>
      </c>
      <c r="G172" s="64">
        <f t="shared" si="127"/>
        <v>-24551441.809999999</v>
      </c>
      <c r="H172" s="64">
        <f t="shared" si="127"/>
        <v>43217036.840000004</v>
      </c>
      <c r="I172" s="64">
        <f t="shared" si="127"/>
        <v>0</v>
      </c>
      <c r="J172" s="64">
        <f t="shared" si="127"/>
        <v>-24551441.809999999</v>
      </c>
      <c r="K172" s="64">
        <f t="shared" si="127"/>
        <v>43217036.840000004</v>
      </c>
      <c r="L172" s="64">
        <f t="shared" si="127"/>
        <v>4542449.8100000005</v>
      </c>
      <c r="M172" s="64">
        <f t="shared" si="127"/>
        <v>38674587.030000001</v>
      </c>
    </row>
    <row r="173" spans="1:13" s="32" customFormat="1" ht="20.100000000000001" customHeight="1" x14ac:dyDescent="0.25">
      <c r="A173" s="17">
        <v>39203</v>
      </c>
      <c r="B173" s="8" t="s">
        <v>86</v>
      </c>
      <c r="C173" s="44">
        <v>26773660</v>
      </c>
      <c r="D173" s="44">
        <f>-11973779.84-1751235.34</f>
        <v>-13725015.18</v>
      </c>
      <c r="E173" s="44">
        <f t="shared" si="72"/>
        <v>13048644.82</v>
      </c>
      <c r="F173" s="44">
        <v>13048644.82</v>
      </c>
      <c r="G173" s="44">
        <f t="shared" si="73"/>
        <v>0</v>
      </c>
      <c r="H173" s="44">
        <f t="shared" si="74"/>
        <v>13048644.82</v>
      </c>
      <c r="I173" s="44">
        <f t="shared" si="75"/>
        <v>0</v>
      </c>
      <c r="J173" s="44">
        <f t="shared" si="76"/>
        <v>0</v>
      </c>
      <c r="K173" s="44">
        <f t="shared" si="77"/>
        <v>13048644.82</v>
      </c>
      <c r="L173" s="44">
        <f>2698217.72</f>
        <v>2698217.72</v>
      </c>
      <c r="M173" s="44">
        <f>1349412.5+9001014.6</f>
        <v>10350427.1</v>
      </c>
    </row>
    <row r="174" spans="1:13" s="32" customFormat="1" ht="20.100000000000001" customHeight="1" x14ac:dyDescent="0.25">
      <c r="A174" s="17">
        <v>39206</v>
      </c>
      <c r="B174" s="8" t="s">
        <v>86</v>
      </c>
      <c r="C174" s="44">
        <v>0</v>
      </c>
      <c r="D174" s="44">
        <f>2554709.87-2021482.78</f>
        <v>533227.09000000008</v>
      </c>
      <c r="E174" s="44">
        <f t="shared" ref="E174" si="128">C174+D174</f>
        <v>533227.09000000008</v>
      </c>
      <c r="F174" s="44">
        <v>533227.09</v>
      </c>
      <c r="G174" s="44">
        <f t="shared" ref="G174" si="129">E174-F174</f>
        <v>0</v>
      </c>
      <c r="H174" s="44">
        <f t="shared" ref="H174" si="130">F174</f>
        <v>533227.09</v>
      </c>
      <c r="I174" s="44">
        <f t="shared" ref="I174" si="131">F174-H174</f>
        <v>0</v>
      </c>
      <c r="J174" s="44">
        <f t="shared" ref="J174" si="132">E174-H174</f>
        <v>0</v>
      </c>
      <c r="K174" s="44">
        <f t="shared" ref="K174" si="133">F174</f>
        <v>533227.09</v>
      </c>
      <c r="L174" s="44">
        <f t="shared" ref="L174" si="134">K174</f>
        <v>533227.09</v>
      </c>
      <c r="M174" s="44">
        <f t="shared" ref="M174" si="135">H174-L174</f>
        <v>0</v>
      </c>
    </row>
    <row r="175" spans="1:13" s="32" customFormat="1" ht="20.100000000000001" customHeight="1" x14ac:dyDescent="0.25">
      <c r="A175" s="17">
        <v>39501</v>
      </c>
      <c r="B175" s="8" t="s">
        <v>168</v>
      </c>
      <c r="C175" s="44"/>
      <c r="D175" s="44">
        <v>0</v>
      </c>
      <c r="E175" s="44">
        <f t="shared" si="72"/>
        <v>0</v>
      </c>
      <c r="F175" s="44">
        <v>0</v>
      </c>
      <c r="G175" s="44">
        <f t="shared" si="73"/>
        <v>0</v>
      </c>
      <c r="H175" s="44">
        <f t="shared" si="74"/>
        <v>0</v>
      </c>
      <c r="I175" s="44">
        <f t="shared" si="75"/>
        <v>0</v>
      </c>
      <c r="J175" s="44">
        <f t="shared" si="76"/>
        <v>0</v>
      </c>
      <c r="K175" s="44">
        <f t="shared" si="77"/>
        <v>0</v>
      </c>
      <c r="L175" s="44">
        <f t="shared" si="126"/>
        <v>0</v>
      </c>
      <c r="M175" s="44">
        <f t="shared" si="78"/>
        <v>0</v>
      </c>
    </row>
    <row r="176" spans="1:13" s="32" customFormat="1" ht="20.100000000000001" customHeight="1" x14ac:dyDescent="0.25">
      <c r="A176" s="17">
        <v>39602</v>
      </c>
      <c r="B176" s="8" t="s">
        <v>222</v>
      </c>
      <c r="C176" s="44">
        <v>0</v>
      </c>
      <c r="D176" s="44">
        <v>1311005</v>
      </c>
      <c r="E176" s="44">
        <f>C176+D176</f>
        <v>1311005</v>
      </c>
      <c r="F176" s="44">
        <v>1311005</v>
      </c>
      <c r="G176" s="44">
        <f>E176-F176</f>
        <v>0</v>
      </c>
      <c r="H176" s="44">
        <f>F176</f>
        <v>1311005</v>
      </c>
      <c r="I176" s="44">
        <f>F176-H176</f>
        <v>0</v>
      </c>
      <c r="J176" s="44">
        <f>E176-H176</f>
        <v>0</v>
      </c>
      <c r="K176" s="44">
        <f>F176</f>
        <v>1311005</v>
      </c>
      <c r="L176" s="44">
        <f>K176</f>
        <v>1311005</v>
      </c>
      <c r="M176" s="44">
        <f>H176-L176</f>
        <v>0</v>
      </c>
    </row>
    <row r="177" spans="1:13" s="32" customFormat="1" ht="20.100000000000001" customHeight="1" x14ac:dyDescent="0.25">
      <c r="A177" s="17">
        <v>39801</v>
      </c>
      <c r="B177" s="8" t="s">
        <v>253</v>
      </c>
      <c r="C177" s="44">
        <v>0</v>
      </c>
      <c r="D177" s="44">
        <v>3772718.12</v>
      </c>
      <c r="E177" s="44">
        <f t="shared" ref="E177" si="136">C177+D177</f>
        <v>3772718.12</v>
      </c>
      <c r="F177" s="44">
        <v>28324159.93</v>
      </c>
      <c r="G177" s="44">
        <f t="shared" ref="G177" si="137">E177-F177</f>
        <v>-24551441.809999999</v>
      </c>
      <c r="H177" s="44">
        <f t="shared" ref="H177" si="138">F177</f>
        <v>28324159.93</v>
      </c>
      <c r="I177" s="44">
        <f t="shared" ref="I177" si="139">F177-H177</f>
        <v>0</v>
      </c>
      <c r="J177" s="44">
        <f t="shared" ref="J177" si="140">E177-H177</f>
        <v>-24551441.809999999</v>
      </c>
      <c r="K177" s="44">
        <f t="shared" ref="K177" si="141">F177</f>
        <v>28324159.93</v>
      </c>
      <c r="L177" s="44">
        <v>0</v>
      </c>
      <c r="M177" s="44">
        <v>28324159.93</v>
      </c>
    </row>
    <row r="178" spans="1:13" s="32" customFormat="1" ht="17.100000000000001" customHeight="1" thickBot="1" x14ac:dyDescent="0.3">
      <c r="A178" s="74"/>
      <c r="B178" s="77"/>
      <c r="C178" s="46" t="s">
        <v>1</v>
      </c>
      <c r="D178" s="46"/>
      <c r="E178" s="46"/>
      <c r="F178" s="46"/>
      <c r="G178" s="46"/>
      <c r="H178" s="46"/>
      <c r="I178" s="46"/>
      <c r="J178" s="46"/>
      <c r="K178" s="46"/>
      <c r="L178" s="46"/>
      <c r="M178" s="46"/>
    </row>
    <row r="179" spans="1:13" s="32" customFormat="1" ht="21.95" customHeight="1" thickBot="1" x14ac:dyDescent="0.3">
      <c r="A179" s="16"/>
      <c r="B179" s="78" t="s">
        <v>100</v>
      </c>
      <c r="C179" s="30">
        <f t="shared" ref="C179:M179" si="142">C121+C127+C131+C142+C148+C158+C161+C167+C172</f>
        <v>63100565</v>
      </c>
      <c r="D179" s="30">
        <f t="shared" si="142"/>
        <v>-13793305.82</v>
      </c>
      <c r="E179" s="30">
        <f t="shared" si="142"/>
        <v>49307259.180000007</v>
      </c>
      <c r="F179" s="30">
        <f t="shared" si="142"/>
        <v>73858700.99000001</v>
      </c>
      <c r="G179" s="30">
        <f t="shared" si="142"/>
        <v>-24551441.809999999</v>
      </c>
      <c r="H179" s="30">
        <f t="shared" si="142"/>
        <v>73858700.99000001</v>
      </c>
      <c r="I179" s="30">
        <f t="shared" si="142"/>
        <v>0</v>
      </c>
      <c r="J179" s="30">
        <f t="shared" si="142"/>
        <v>-24551441.809999999</v>
      </c>
      <c r="K179" s="30">
        <f t="shared" si="142"/>
        <v>73858700.99000001</v>
      </c>
      <c r="L179" s="30">
        <f t="shared" si="142"/>
        <v>33999113.960000001</v>
      </c>
      <c r="M179" s="30">
        <f t="shared" si="142"/>
        <v>39859587.030000001</v>
      </c>
    </row>
    <row r="180" spans="1:13" s="32" customFormat="1" ht="18" customHeight="1" x14ac:dyDescent="0.25">
      <c r="A180" s="79"/>
      <c r="B180" s="81"/>
      <c r="C180" s="48"/>
      <c r="D180" s="48"/>
      <c r="E180" s="48"/>
      <c r="F180" s="48"/>
      <c r="G180" s="48"/>
      <c r="H180" s="48"/>
      <c r="I180" s="48"/>
      <c r="J180" s="48"/>
      <c r="K180" s="48"/>
      <c r="L180" s="44"/>
      <c r="M180" s="48"/>
    </row>
    <row r="181" spans="1:13" s="32" customFormat="1" ht="20.100000000000001" customHeight="1" x14ac:dyDescent="0.25">
      <c r="A181" s="65">
        <v>4000</v>
      </c>
      <c r="B181" s="70" t="s">
        <v>19</v>
      </c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</row>
    <row r="182" spans="1:13" s="72" customFormat="1" ht="20.100000000000001" customHeight="1" x14ac:dyDescent="0.25">
      <c r="A182" s="65">
        <v>4400</v>
      </c>
      <c r="B182" s="70" t="s">
        <v>215</v>
      </c>
      <c r="C182" s="64">
        <f>SUM(C183:C185)</f>
        <v>1500000</v>
      </c>
      <c r="D182" s="64">
        <f t="shared" ref="D182:M182" si="143">SUM(D183:D185)</f>
        <v>-1500000</v>
      </c>
      <c r="E182" s="64">
        <f t="shared" si="143"/>
        <v>0</v>
      </c>
      <c r="F182" s="64">
        <f t="shared" si="143"/>
        <v>0</v>
      </c>
      <c r="G182" s="64">
        <f t="shared" si="143"/>
        <v>0</v>
      </c>
      <c r="H182" s="64">
        <f t="shared" si="143"/>
        <v>0</v>
      </c>
      <c r="I182" s="64">
        <f t="shared" si="143"/>
        <v>0</v>
      </c>
      <c r="J182" s="64">
        <f t="shared" si="143"/>
        <v>0</v>
      </c>
      <c r="K182" s="64">
        <f t="shared" si="143"/>
        <v>0</v>
      </c>
      <c r="L182" s="64">
        <f t="shared" si="143"/>
        <v>0</v>
      </c>
      <c r="M182" s="64">
        <f t="shared" si="143"/>
        <v>0</v>
      </c>
    </row>
    <row r="183" spans="1:13" s="32" customFormat="1" ht="20.100000000000001" customHeight="1" x14ac:dyDescent="0.25">
      <c r="A183" s="17">
        <v>44101</v>
      </c>
      <c r="B183" s="82" t="s">
        <v>129</v>
      </c>
      <c r="C183" s="44">
        <v>250000</v>
      </c>
      <c r="D183" s="44">
        <f>-100000-150000</f>
        <v>-250000</v>
      </c>
      <c r="E183" s="44">
        <f>C183+D183</f>
        <v>0</v>
      </c>
      <c r="F183" s="44">
        <v>0</v>
      </c>
      <c r="G183" s="44">
        <f>E183-F183</f>
        <v>0</v>
      </c>
      <c r="H183" s="44">
        <f>F183</f>
        <v>0</v>
      </c>
      <c r="I183" s="44">
        <f>F183-H183</f>
        <v>0</v>
      </c>
      <c r="J183" s="44">
        <f>E183-H183</f>
        <v>0</v>
      </c>
      <c r="K183" s="44">
        <f>F183</f>
        <v>0</v>
      </c>
      <c r="L183" s="44">
        <f t="shared" ref="L183:L208" si="144">K183</f>
        <v>0</v>
      </c>
      <c r="M183" s="44">
        <f>H183-L183</f>
        <v>0</v>
      </c>
    </row>
    <row r="184" spans="1:13" s="32" customFormat="1" ht="20.100000000000001" customHeight="1" x14ac:dyDescent="0.25">
      <c r="A184" s="25">
        <v>44102</v>
      </c>
      <c r="B184" s="83" t="s">
        <v>160</v>
      </c>
      <c r="C184" s="50">
        <v>250000</v>
      </c>
      <c r="D184" s="50">
        <f>-100000-150000</f>
        <v>-250000</v>
      </c>
      <c r="E184" s="44">
        <f t="shared" ref="E184:E185" si="145">C184+D184</f>
        <v>0</v>
      </c>
      <c r="F184" s="50">
        <v>0</v>
      </c>
      <c r="G184" s="44">
        <f t="shared" ref="G184:G185" si="146">E184-F184</f>
        <v>0</v>
      </c>
      <c r="H184" s="44">
        <f>F184</f>
        <v>0</v>
      </c>
      <c r="I184" s="44">
        <f t="shared" ref="I184:I185" si="147">F184-H184</f>
        <v>0</v>
      </c>
      <c r="J184" s="44">
        <f t="shared" ref="J184:J185" si="148">E184-H184</f>
        <v>0</v>
      </c>
      <c r="K184" s="44">
        <f>F184</f>
        <v>0</v>
      </c>
      <c r="L184" s="44">
        <f t="shared" si="144"/>
        <v>0</v>
      </c>
      <c r="M184" s="44">
        <f>H184-L184</f>
        <v>0</v>
      </c>
    </row>
    <row r="185" spans="1:13" s="32" customFormat="1" ht="20.100000000000001" customHeight="1" x14ac:dyDescent="0.25">
      <c r="A185" s="25">
        <v>44103</v>
      </c>
      <c r="B185" s="84" t="s">
        <v>132</v>
      </c>
      <c r="C185" s="50">
        <v>1000000</v>
      </c>
      <c r="D185" s="50">
        <v>-1000000</v>
      </c>
      <c r="E185" s="44">
        <f t="shared" si="145"/>
        <v>0</v>
      </c>
      <c r="F185" s="50">
        <v>0</v>
      </c>
      <c r="G185" s="44">
        <f t="shared" si="146"/>
        <v>0</v>
      </c>
      <c r="H185" s="44">
        <f t="shared" ref="H185" si="149">F185</f>
        <v>0</v>
      </c>
      <c r="I185" s="44">
        <f t="shared" si="147"/>
        <v>0</v>
      </c>
      <c r="J185" s="44">
        <f t="shared" si="148"/>
        <v>0</v>
      </c>
      <c r="K185" s="44">
        <f t="shared" ref="K185" si="150">F185</f>
        <v>0</v>
      </c>
      <c r="L185" s="44">
        <f t="shared" si="144"/>
        <v>0</v>
      </c>
      <c r="M185" s="44">
        <f t="shared" ref="M185" si="151">H185-L185</f>
        <v>0</v>
      </c>
    </row>
    <row r="186" spans="1:13" s="32" customFormat="1" ht="15.75" thickBot="1" x14ac:dyDescent="0.3">
      <c r="A186" s="25"/>
      <c r="B186" s="84"/>
      <c r="C186" s="50"/>
      <c r="D186" s="50"/>
      <c r="E186" s="44"/>
      <c r="F186" s="50"/>
      <c r="G186" s="50"/>
      <c r="H186" s="44"/>
      <c r="I186" s="44"/>
      <c r="J186" s="44"/>
      <c r="K186" s="44"/>
      <c r="L186" s="44"/>
      <c r="M186" s="44"/>
    </row>
    <row r="187" spans="1:13" s="32" customFormat="1" ht="21.95" customHeight="1" thickBot="1" x14ac:dyDescent="0.3">
      <c r="A187" s="16"/>
      <c r="B187" s="78" t="s">
        <v>101</v>
      </c>
      <c r="C187" s="30">
        <f>C182</f>
        <v>1500000</v>
      </c>
      <c r="D187" s="30">
        <f t="shared" ref="D187:L187" si="152">D182</f>
        <v>-1500000</v>
      </c>
      <c r="E187" s="30">
        <f t="shared" si="152"/>
        <v>0</v>
      </c>
      <c r="F187" s="30">
        <f t="shared" si="152"/>
        <v>0</v>
      </c>
      <c r="G187" s="30">
        <f t="shared" si="152"/>
        <v>0</v>
      </c>
      <c r="H187" s="30">
        <f t="shared" si="152"/>
        <v>0</v>
      </c>
      <c r="I187" s="30">
        <f t="shared" si="152"/>
        <v>0</v>
      </c>
      <c r="J187" s="30">
        <f t="shared" si="152"/>
        <v>0</v>
      </c>
      <c r="K187" s="30">
        <f t="shared" si="152"/>
        <v>0</v>
      </c>
      <c r="L187" s="30">
        <f t="shared" si="152"/>
        <v>0</v>
      </c>
      <c r="M187" s="30">
        <f>SUM(M185:M186)</f>
        <v>0</v>
      </c>
    </row>
    <row r="188" spans="1:13" s="32" customFormat="1" x14ac:dyDescent="0.25">
      <c r="A188" s="79"/>
      <c r="B188" s="80"/>
      <c r="C188" s="48"/>
      <c r="D188" s="48"/>
      <c r="E188" s="48"/>
      <c r="F188" s="48"/>
      <c r="G188" s="48"/>
      <c r="H188" s="48"/>
      <c r="I188" s="48"/>
      <c r="J188" s="48"/>
      <c r="K188" s="48"/>
      <c r="L188" s="44"/>
      <c r="M188" s="48"/>
    </row>
    <row r="189" spans="1:13" s="32" customFormat="1" ht="21.95" customHeight="1" x14ac:dyDescent="0.25">
      <c r="A189" s="65">
        <v>5000</v>
      </c>
      <c r="B189" s="70" t="s">
        <v>20</v>
      </c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3" s="72" customFormat="1" ht="21.95" customHeight="1" x14ac:dyDescent="0.25">
      <c r="A190" s="65">
        <v>5100</v>
      </c>
      <c r="B190" s="70" t="s">
        <v>216</v>
      </c>
      <c r="C190" s="64">
        <f>SUM(C191:C194)</f>
        <v>2000000</v>
      </c>
      <c r="D190" s="64">
        <f t="shared" ref="D190:M190" si="153">SUM(D191:D194)</f>
        <v>1069602.25</v>
      </c>
      <c r="E190" s="64">
        <f t="shared" si="153"/>
        <v>3069602.25</v>
      </c>
      <c r="F190" s="64">
        <f t="shared" si="153"/>
        <v>3069602.25</v>
      </c>
      <c r="G190" s="64">
        <f t="shared" si="153"/>
        <v>0</v>
      </c>
      <c r="H190" s="64">
        <f t="shared" si="153"/>
        <v>3069602.25</v>
      </c>
      <c r="I190" s="64">
        <f t="shared" si="153"/>
        <v>0</v>
      </c>
      <c r="J190" s="64">
        <f t="shared" si="153"/>
        <v>0</v>
      </c>
      <c r="K190" s="64">
        <f t="shared" si="153"/>
        <v>3069602.25</v>
      </c>
      <c r="L190" s="64">
        <f t="shared" si="153"/>
        <v>496444.67</v>
      </c>
      <c r="M190" s="64">
        <f t="shared" si="153"/>
        <v>2573157.58</v>
      </c>
    </row>
    <row r="191" spans="1:13" s="32" customFormat="1" ht="20.100000000000001" customHeight="1" x14ac:dyDescent="0.25">
      <c r="A191" s="17">
        <v>51101</v>
      </c>
      <c r="B191" s="8" t="s">
        <v>149</v>
      </c>
      <c r="C191" s="44">
        <v>500000</v>
      </c>
      <c r="D191" s="44">
        <v>798945.51</v>
      </c>
      <c r="E191" s="44">
        <f>C191+D191</f>
        <v>1298945.51</v>
      </c>
      <c r="F191" s="44">
        <v>1298945.51</v>
      </c>
      <c r="G191" s="44">
        <f>E191-F191</f>
        <v>0</v>
      </c>
      <c r="H191" s="44">
        <f>F191</f>
        <v>1298945.51</v>
      </c>
      <c r="I191" s="44">
        <f>F191-H191</f>
        <v>0</v>
      </c>
      <c r="J191" s="44">
        <f>E191-H191</f>
        <v>0</v>
      </c>
      <c r="K191" s="44">
        <f>F191</f>
        <v>1298945.51</v>
      </c>
      <c r="L191" s="44">
        <v>202810.47</v>
      </c>
      <c r="M191" s="44">
        <v>1096135.04</v>
      </c>
    </row>
    <row r="192" spans="1:13" s="32" customFormat="1" ht="20.100000000000001" customHeight="1" x14ac:dyDescent="0.25">
      <c r="A192" s="17">
        <v>51301</v>
      </c>
      <c r="B192" s="8" t="s">
        <v>89</v>
      </c>
      <c r="C192" s="44">
        <v>0</v>
      </c>
      <c r="D192" s="44">
        <v>0</v>
      </c>
      <c r="E192" s="44">
        <f t="shared" ref="E192:E208" si="154">C192+D192</f>
        <v>0</v>
      </c>
      <c r="F192" s="44">
        <v>0</v>
      </c>
      <c r="G192" s="44">
        <f t="shared" ref="G192:G208" si="155">E192-F192</f>
        <v>0</v>
      </c>
      <c r="H192" s="44">
        <f>F192</f>
        <v>0</v>
      </c>
      <c r="I192" s="44"/>
      <c r="J192" s="44">
        <f t="shared" ref="J192:J208" si="156">E192-H192</f>
        <v>0</v>
      </c>
      <c r="K192" s="44">
        <f t="shared" ref="K192:K208" si="157">F192</f>
        <v>0</v>
      </c>
      <c r="L192" s="44">
        <f t="shared" si="144"/>
        <v>0</v>
      </c>
      <c r="M192" s="44"/>
    </row>
    <row r="193" spans="1:13" s="32" customFormat="1" ht="20.100000000000001" customHeight="1" x14ac:dyDescent="0.25">
      <c r="A193" s="17">
        <v>51501</v>
      </c>
      <c r="B193" s="8" t="s">
        <v>88</v>
      </c>
      <c r="C193" s="44">
        <v>1250000</v>
      </c>
      <c r="D193" s="44">
        <v>391111.5</v>
      </c>
      <c r="E193" s="44">
        <f t="shared" si="154"/>
        <v>1641111.5</v>
      </c>
      <c r="F193" s="44">
        <v>1641111.5</v>
      </c>
      <c r="G193" s="44">
        <f t="shared" si="155"/>
        <v>0</v>
      </c>
      <c r="H193" s="44">
        <f t="shared" ref="H193:H208" si="158">F193</f>
        <v>1641111.5</v>
      </c>
      <c r="I193" s="44">
        <f t="shared" ref="I193:I208" si="159">F193-H193</f>
        <v>0</v>
      </c>
      <c r="J193" s="44">
        <f t="shared" si="156"/>
        <v>0</v>
      </c>
      <c r="K193" s="44">
        <f t="shared" si="157"/>
        <v>1641111.5</v>
      </c>
      <c r="L193" s="44">
        <v>164088.95999999999</v>
      </c>
      <c r="M193" s="44">
        <v>1477022.54</v>
      </c>
    </row>
    <row r="194" spans="1:13" s="32" customFormat="1" ht="20.100000000000001" customHeight="1" x14ac:dyDescent="0.25">
      <c r="A194" s="17">
        <v>51901</v>
      </c>
      <c r="B194" s="8" t="s">
        <v>87</v>
      </c>
      <c r="C194" s="44">
        <v>250000</v>
      </c>
      <c r="D194" s="44">
        <v>-120454.76</v>
      </c>
      <c r="E194" s="44">
        <f t="shared" si="154"/>
        <v>129545.24</v>
      </c>
      <c r="F194" s="44">
        <v>129545.24</v>
      </c>
      <c r="G194" s="44">
        <f t="shared" si="155"/>
        <v>0</v>
      </c>
      <c r="H194" s="44">
        <f t="shared" si="158"/>
        <v>129545.24</v>
      </c>
      <c r="I194" s="44">
        <f t="shared" si="159"/>
        <v>0</v>
      </c>
      <c r="J194" s="44">
        <f t="shared" si="156"/>
        <v>0</v>
      </c>
      <c r="K194" s="44">
        <f t="shared" si="157"/>
        <v>129545.24</v>
      </c>
      <c r="L194" s="44">
        <f t="shared" si="144"/>
        <v>129545.24</v>
      </c>
      <c r="M194" s="44">
        <f t="shared" ref="M194:M208" si="160">H194-L194</f>
        <v>0</v>
      </c>
    </row>
    <row r="195" spans="1:13" s="72" customFormat="1" ht="30" x14ac:dyDescent="0.25">
      <c r="A195" s="65">
        <v>5200</v>
      </c>
      <c r="B195" s="71" t="s">
        <v>217</v>
      </c>
      <c r="C195" s="64">
        <f>SUM(C196:C199)</f>
        <v>250000</v>
      </c>
      <c r="D195" s="64">
        <f t="shared" ref="D195:M195" si="161">SUM(D196:D199)</f>
        <v>307351.46000000002</v>
      </c>
      <c r="E195" s="64">
        <f t="shared" si="161"/>
        <v>557351.46</v>
      </c>
      <c r="F195" s="64">
        <f t="shared" si="161"/>
        <v>557351.46</v>
      </c>
      <c r="G195" s="64">
        <f t="shared" si="161"/>
        <v>0</v>
      </c>
      <c r="H195" s="64">
        <f t="shared" si="161"/>
        <v>557351.46</v>
      </c>
      <c r="I195" s="64">
        <f t="shared" si="161"/>
        <v>0</v>
      </c>
      <c r="J195" s="64">
        <f t="shared" si="161"/>
        <v>0</v>
      </c>
      <c r="K195" s="64">
        <f t="shared" si="161"/>
        <v>557351.46</v>
      </c>
      <c r="L195" s="64">
        <f t="shared" si="161"/>
        <v>447550.5</v>
      </c>
      <c r="M195" s="64">
        <f t="shared" si="161"/>
        <v>109800.96000000001</v>
      </c>
    </row>
    <row r="196" spans="1:13" s="32" customFormat="1" ht="20.100000000000001" customHeight="1" x14ac:dyDescent="0.25">
      <c r="A196" s="17">
        <v>52101</v>
      </c>
      <c r="B196" s="8" t="s">
        <v>150</v>
      </c>
      <c r="C196" s="44">
        <v>0</v>
      </c>
      <c r="D196" s="44">
        <v>85544.2</v>
      </c>
      <c r="E196" s="44">
        <f t="shared" si="154"/>
        <v>85544.2</v>
      </c>
      <c r="F196" s="44">
        <v>85544.2</v>
      </c>
      <c r="G196" s="44">
        <f t="shared" si="155"/>
        <v>0</v>
      </c>
      <c r="H196" s="44">
        <f t="shared" si="158"/>
        <v>85544.2</v>
      </c>
      <c r="I196" s="44">
        <f t="shared" si="159"/>
        <v>0</v>
      </c>
      <c r="J196" s="44">
        <f t="shared" si="156"/>
        <v>0</v>
      </c>
      <c r="K196" s="44">
        <f t="shared" si="157"/>
        <v>85544.2</v>
      </c>
      <c r="L196" s="44">
        <f t="shared" si="144"/>
        <v>85544.2</v>
      </c>
      <c r="M196" s="44"/>
    </row>
    <row r="197" spans="1:13" s="32" customFormat="1" ht="20.100000000000001" customHeight="1" x14ac:dyDescent="0.25">
      <c r="A197" s="17">
        <v>52301</v>
      </c>
      <c r="B197" s="8" t="s">
        <v>158</v>
      </c>
      <c r="C197" s="44">
        <v>0</v>
      </c>
      <c r="D197" s="44">
        <v>0</v>
      </c>
      <c r="E197" s="44">
        <f t="shared" si="154"/>
        <v>0</v>
      </c>
      <c r="F197" s="44"/>
      <c r="G197" s="44">
        <f t="shared" si="155"/>
        <v>0</v>
      </c>
      <c r="H197" s="44">
        <f t="shared" si="158"/>
        <v>0</v>
      </c>
      <c r="I197" s="44">
        <f t="shared" si="159"/>
        <v>0</v>
      </c>
      <c r="J197" s="44">
        <f t="shared" si="156"/>
        <v>0</v>
      </c>
      <c r="K197" s="44">
        <f t="shared" si="157"/>
        <v>0</v>
      </c>
      <c r="L197" s="44">
        <f t="shared" si="144"/>
        <v>0</v>
      </c>
      <c r="M197" s="44"/>
    </row>
    <row r="198" spans="1:13" s="32" customFormat="1" ht="20.100000000000001" customHeight="1" x14ac:dyDescent="0.25">
      <c r="A198" s="17">
        <v>52901</v>
      </c>
      <c r="B198" s="8" t="s">
        <v>151</v>
      </c>
      <c r="C198" s="44">
        <v>250000</v>
      </c>
      <c r="D198" s="44">
        <v>-61365.440000000002</v>
      </c>
      <c r="E198" s="44">
        <f t="shared" si="154"/>
        <v>188634.56</v>
      </c>
      <c r="F198" s="44">
        <v>188634.56</v>
      </c>
      <c r="G198" s="44">
        <f t="shared" si="155"/>
        <v>0</v>
      </c>
      <c r="H198" s="44">
        <f t="shared" si="158"/>
        <v>188634.56</v>
      </c>
      <c r="I198" s="44">
        <f t="shared" si="159"/>
        <v>0</v>
      </c>
      <c r="J198" s="44">
        <f t="shared" si="156"/>
        <v>0</v>
      </c>
      <c r="K198" s="44">
        <f t="shared" si="157"/>
        <v>188634.56</v>
      </c>
      <c r="L198" s="44">
        <v>78833.600000000006</v>
      </c>
      <c r="M198" s="44">
        <v>109800.96000000001</v>
      </c>
    </row>
    <row r="199" spans="1:13" s="32" customFormat="1" ht="20.100000000000001" customHeight="1" x14ac:dyDescent="0.25">
      <c r="A199" s="17">
        <v>52902</v>
      </c>
      <c r="B199" s="8" t="s">
        <v>152</v>
      </c>
      <c r="C199" s="44">
        <v>0</v>
      </c>
      <c r="D199" s="44">
        <v>283172.7</v>
      </c>
      <c r="E199" s="44">
        <f t="shared" si="154"/>
        <v>283172.7</v>
      </c>
      <c r="F199" s="44">
        <v>283172.7</v>
      </c>
      <c r="G199" s="44">
        <f t="shared" si="155"/>
        <v>0</v>
      </c>
      <c r="H199" s="44">
        <f t="shared" si="158"/>
        <v>283172.7</v>
      </c>
      <c r="I199" s="44">
        <f t="shared" si="159"/>
        <v>0</v>
      </c>
      <c r="J199" s="44">
        <f t="shared" si="156"/>
        <v>0</v>
      </c>
      <c r="K199" s="44">
        <f t="shared" si="157"/>
        <v>283172.7</v>
      </c>
      <c r="L199" s="44">
        <f t="shared" si="144"/>
        <v>283172.7</v>
      </c>
      <c r="M199" s="44">
        <f t="shared" si="160"/>
        <v>0</v>
      </c>
    </row>
    <row r="200" spans="1:13" s="72" customFormat="1" ht="30" x14ac:dyDescent="0.25">
      <c r="A200" s="65">
        <v>5300</v>
      </c>
      <c r="B200" s="71" t="s">
        <v>218</v>
      </c>
      <c r="C200" s="64">
        <f>SUM(C201:C201)</f>
        <v>250000</v>
      </c>
      <c r="D200" s="64">
        <f>SUM(D201:D201)</f>
        <v>-202316</v>
      </c>
      <c r="E200" s="64">
        <f>SUM(E201:E201)</f>
        <v>47684</v>
      </c>
      <c r="F200" s="64">
        <f t="shared" ref="F200:M200" si="162">SUM(F201)</f>
        <v>47684</v>
      </c>
      <c r="G200" s="64">
        <f t="shared" si="162"/>
        <v>0</v>
      </c>
      <c r="H200" s="64">
        <f t="shared" si="162"/>
        <v>47684</v>
      </c>
      <c r="I200" s="64">
        <f t="shared" si="162"/>
        <v>0</v>
      </c>
      <c r="J200" s="64">
        <f t="shared" si="162"/>
        <v>0</v>
      </c>
      <c r="K200" s="64">
        <f t="shared" si="162"/>
        <v>47684</v>
      </c>
      <c r="L200" s="64">
        <f t="shared" si="162"/>
        <v>47684</v>
      </c>
      <c r="M200" s="64">
        <f t="shared" si="162"/>
        <v>0</v>
      </c>
    </row>
    <row r="201" spans="1:13" s="32" customFormat="1" ht="20.100000000000001" customHeight="1" x14ac:dyDescent="0.25">
      <c r="A201" s="17">
        <v>53101</v>
      </c>
      <c r="B201" s="8" t="s">
        <v>143</v>
      </c>
      <c r="C201" s="44">
        <v>250000</v>
      </c>
      <c r="D201" s="44">
        <v>-202316</v>
      </c>
      <c r="E201" s="44">
        <f t="shared" si="154"/>
        <v>47684</v>
      </c>
      <c r="F201" s="44">
        <v>47684</v>
      </c>
      <c r="G201" s="44">
        <f t="shared" si="155"/>
        <v>0</v>
      </c>
      <c r="H201" s="44">
        <f t="shared" si="158"/>
        <v>47684</v>
      </c>
      <c r="I201" s="44">
        <f t="shared" si="159"/>
        <v>0</v>
      </c>
      <c r="J201" s="44">
        <f t="shared" si="156"/>
        <v>0</v>
      </c>
      <c r="K201" s="44">
        <f t="shared" si="157"/>
        <v>47684</v>
      </c>
      <c r="L201" s="44">
        <f t="shared" si="144"/>
        <v>47684</v>
      </c>
      <c r="M201" s="44"/>
    </row>
    <row r="202" spans="1:13" s="72" customFormat="1" ht="20.100000000000001" customHeight="1" x14ac:dyDescent="0.25">
      <c r="A202" s="65">
        <v>5400</v>
      </c>
      <c r="B202" s="71" t="s">
        <v>219</v>
      </c>
      <c r="C202" s="64">
        <f>SUM(C203:C203)</f>
        <v>0</v>
      </c>
      <c r="D202" s="64">
        <f>SUM(D203:D203)</f>
        <v>0</v>
      </c>
      <c r="E202" s="64">
        <f>SUM(E203:E203)</f>
        <v>0</v>
      </c>
      <c r="F202" s="64">
        <f t="shared" ref="F202:M202" si="163">SUM(F203)</f>
        <v>0</v>
      </c>
      <c r="G202" s="64">
        <f t="shared" si="163"/>
        <v>0</v>
      </c>
      <c r="H202" s="64">
        <f t="shared" si="163"/>
        <v>0</v>
      </c>
      <c r="I202" s="64">
        <f t="shared" si="163"/>
        <v>0</v>
      </c>
      <c r="J202" s="64">
        <f t="shared" si="163"/>
        <v>0</v>
      </c>
      <c r="K202" s="64">
        <f t="shared" si="163"/>
        <v>0</v>
      </c>
      <c r="L202" s="64">
        <f t="shared" si="163"/>
        <v>0</v>
      </c>
      <c r="M202" s="64">
        <f t="shared" si="163"/>
        <v>0</v>
      </c>
    </row>
    <row r="203" spans="1:13" s="32" customFormat="1" ht="20.100000000000001" customHeight="1" x14ac:dyDescent="0.25">
      <c r="A203" s="17">
        <v>54104</v>
      </c>
      <c r="B203" s="8" t="s">
        <v>153</v>
      </c>
      <c r="C203" s="44">
        <v>0</v>
      </c>
      <c r="D203" s="44">
        <v>0</v>
      </c>
      <c r="E203" s="44">
        <f t="shared" si="154"/>
        <v>0</v>
      </c>
      <c r="F203" s="44">
        <v>0</v>
      </c>
      <c r="G203" s="44">
        <f t="shared" si="155"/>
        <v>0</v>
      </c>
      <c r="H203" s="44">
        <f t="shared" si="158"/>
        <v>0</v>
      </c>
      <c r="I203" s="44">
        <f t="shared" si="159"/>
        <v>0</v>
      </c>
      <c r="J203" s="44">
        <f t="shared" si="156"/>
        <v>0</v>
      </c>
      <c r="K203" s="44">
        <f t="shared" si="157"/>
        <v>0</v>
      </c>
      <c r="L203" s="44">
        <f t="shared" si="144"/>
        <v>0</v>
      </c>
      <c r="M203" s="44">
        <f t="shared" si="160"/>
        <v>0</v>
      </c>
    </row>
    <row r="204" spans="1:13" s="72" customFormat="1" ht="21.95" customHeight="1" x14ac:dyDescent="0.25">
      <c r="A204" s="65">
        <v>5600</v>
      </c>
      <c r="B204" s="71" t="s">
        <v>220</v>
      </c>
      <c r="C204" s="64">
        <f t="shared" ref="C204:M204" si="164">SUM(C205:C209)</f>
        <v>546240</v>
      </c>
      <c r="D204" s="64">
        <f t="shared" si="164"/>
        <v>24924487.550000001</v>
      </c>
      <c r="E204" s="64">
        <f t="shared" si="164"/>
        <v>25470727.550000001</v>
      </c>
      <c r="F204" s="64">
        <f t="shared" si="164"/>
        <v>25470727.550000001</v>
      </c>
      <c r="G204" s="64">
        <f t="shared" si="164"/>
        <v>0</v>
      </c>
      <c r="H204" s="64">
        <f t="shared" si="164"/>
        <v>25470727.550000001</v>
      </c>
      <c r="I204" s="64">
        <f t="shared" si="164"/>
        <v>0</v>
      </c>
      <c r="J204" s="64">
        <f t="shared" si="164"/>
        <v>0</v>
      </c>
      <c r="K204" s="64">
        <f t="shared" si="164"/>
        <v>25470727.550000001</v>
      </c>
      <c r="L204" s="64">
        <f t="shared" si="164"/>
        <v>470727.55</v>
      </c>
      <c r="M204" s="64">
        <f t="shared" si="164"/>
        <v>25000000</v>
      </c>
    </row>
    <row r="205" spans="1:13" s="32" customFormat="1" ht="20.100000000000001" customHeight="1" x14ac:dyDescent="0.25">
      <c r="A205" s="17">
        <v>56401</v>
      </c>
      <c r="B205" s="8" t="s">
        <v>154</v>
      </c>
      <c r="C205" s="44">
        <v>400000</v>
      </c>
      <c r="D205" s="44">
        <v>-400000</v>
      </c>
      <c r="E205" s="44">
        <f t="shared" si="154"/>
        <v>0</v>
      </c>
      <c r="F205" s="44">
        <v>0</v>
      </c>
      <c r="G205" s="44">
        <f t="shared" si="155"/>
        <v>0</v>
      </c>
      <c r="H205" s="44">
        <f t="shared" si="158"/>
        <v>0</v>
      </c>
      <c r="I205" s="44">
        <f t="shared" si="159"/>
        <v>0</v>
      </c>
      <c r="J205" s="44">
        <f t="shared" si="156"/>
        <v>0</v>
      </c>
      <c r="K205" s="44">
        <f t="shared" si="157"/>
        <v>0</v>
      </c>
      <c r="L205" s="44">
        <f t="shared" si="144"/>
        <v>0</v>
      </c>
      <c r="M205" s="44">
        <f t="shared" si="160"/>
        <v>0</v>
      </c>
    </row>
    <row r="206" spans="1:13" s="32" customFormat="1" ht="30" x14ac:dyDescent="0.25">
      <c r="A206" s="17">
        <v>56501</v>
      </c>
      <c r="B206" s="8" t="s">
        <v>155</v>
      </c>
      <c r="C206" s="44">
        <v>0</v>
      </c>
      <c r="D206" s="44">
        <v>2400</v>
      </c>
      <c r="E206" s="44">
        <f t="shared" si="154"/>
        <v>2400</v>
      </c>
      <c r="F206" s="44">
        <v>2400</v>
      </c>
      <c r="G206" s="44">
        <f t="shared" si="155"/>
        <v>0</v>
      </c>
      <c r="H206" s="44">
        <f t="shared" si="158"/>
        <v>2400</v>
      </c>
      <c r="I206" s="44">
        <f t="shared" si="159"/>
        <v>0</v>
      </c>
      <c r="J206" s="44">
        <f t="shared" si="156"/>
        <v>0</v>
      </c>
      <c r="K206" s="44">
        <f t="shared" si="157"/>
        <v>2400</v>
      </c>
      <c r="L206" s="44">
        <f t="shared" si="144"/>
        <v>2400</v>
      </c>
      <c r="M206" s="44">
        <f t="shared" si="160"/>
        <v>0</v>
      </c>
    </row>
    <row r="207" spans="1:13" s="32" customFormat="1" ht="20.100000000000001" customHeight="1" x14ac:dyDescent="0.25">
      <c r="A207" s="25">
        <v>56601</v>
      </c>
      <c r="B207" s="84" t="s">
        <v>156</v>
      </c>
      <c r="C207" s="50">
        <v>0</v>
      </c>
      <c r="D207" s="50">
        <v>20550</v>
      </c>
      <c r="E207" s="44">
        <f t="shared" si="154"/>
        <v>20550</v>
      </c>
      <c r="F207" s="50">
        <v>20550</v>
      </c>
      <c r="G207" s="44">
        <f t="shared" si="155"/>
        <v>0</v>
      </c>
      <c r="H207" s="44">
        <f t="shared" si="158"/>
        <v>20550</v>
      </c>
      <c r="I207" s="44">
        <f t="shared" si="159"/>
        <v>0</v>
      </c>
      <c r="J207" s="44">
        <f t="shared" si="156"/>
        <v>0</v>
      </c>
      <c r="K207" s="44">
        <f t="shared" si="157"/>
        <v>20550</v>
      </c>
      <c r="L207" s="44">
        <f t="shared" si="144"/>
        <v>20550</v>
      </c>
      <c r="M207" s="44">
        <f t="shared" si="160"/>
        <v>0</v>
      </c>
    </row>
    <row r="208" spans="1:13" ht="20.100000000000001" customHeight="1" x14ac:dyDescent="0.25">
      <c r="A208" s="15">
        <v>56701</v>
      </c>
      <c r="B208" s="5" t="s">
        <v>157</v>
      </c>
      <c r="C208" s="43">
        <v>146240</v>
      </c>
      <c r="D208" s="43">
        <v>301537.55</v>
      </c>
      <c r="E208" s="44">
        <f t="shared" si="154"/>
        <v>447777.55</v>
      </c>
      <c r="F208" s="43">
        <v>447777.55</v>
      </c>
      <c r="G208" s="44">
        <f t="shared" si="155"/>
        <v>0</v>
      </c>
      <c r="H208" s="43">
        <f t="shared" si="158"/>
        <v>447777.55</v>
      </c>
      <c r="I208" s="43">
        <f t="shared" si="159"/>
        <v>0</v>
      </c>
      <c r="J208" s="43">
        <f t="shared" si="156"/>
        <v>0</v>
      </c>
      <c r="K208" s="43">
        <f t="shared" si="157"/>
        <v>447777.55</v>
      </c>
      <c r="L208" s="44">
        <f t="shared" si="144"/>
        <v>447777.55</v>
      </c>
      <c r="M208" s="43">
        <f t="shared" si="160"/>
        <v>0</v>
      </c>
    </row>
    <row r="209" spans="1:13" s="32" customFormat="1" ht="20.100000000000001" customHeight="1" x14ac:dyDescent="0.25">
      <c r="A209" s="25">
        <v>58904</v>
      </c>
      <c r="B209" s="84" t="s">
        <v>249</v>
      </c>
      <c r="C209" s="50">
        <v>0</v>
      </c>
      <c r="D209" s="50">
        <v>25000000</v>
      </c>
      <c r="E209" s="44">
        <f t="shared" ref="E209" si="165">C209+D209</f>
        <v>25000000</v>
      </c>
      <c r="F209" s="50">
        <v>25000000</v>
      </c>
      <c r="G209" s="44">
        <f t="shared" ref="G209" si="166">E209-F209</f>
        <v>0</v>
      </c>
      <c r="H209" s="44">
        <f t="shared" ref="H209" si="167">F209</f>
        <v>25000000</v>
      </c>
      <c r="I209" s="44">
        <f t="shared" ref="I209" si="168">F209-H209</f>
        <v>0</v>
      </c>
      <c r="J209" s="44">
        <f t="shared" ref="J209" si="169">E209-H209</f>
        <v>0</v>
      </c>
      <c r="K209" s="44">
        <f t="shared" ref="K209" si="170">F209</f>
        <v>25000000</v>
      </c>
      <c r="L209" s="44">
        <v>0</v>
      </c>
      <c r="M209" s="44">
        <f t="shared" ref="M209" si="171">H209-L209</f>
        <v>25000000</v>
      </c>
    </row>
    <row r="210" spans="1:13" ht="18.95" customHeight="1" thickBot="1" x14ac:dyDescent="0.3">
      <c r="A210" s="23"/>
      <c r="B210" s="33"/>
      <c r="C210" s="45"/>
      <c r="D210" s="45"/>
      <c r="E210" s="46"/>
      <c r="F210" s="45"/>
      <c r="G210" s="46"/>
      <c r="H210" s="45"/>
      <c r="I210" s="45"/>
      <c r="J210" s="45"/>
      <c r="K210" s="45"/>
      <c r="L210" s="46"/>
      <c r="M210" s="45"/>
    </row>
    <row r="211" spans="1:13" ht="21.95" customHeight="1" thickBot="1" x14ac:dyDescent="0.3">
      <c r="A211" s="4"/>
      <c r="B211" s="20" t="s">
        <v>102</v>
      </c>
      <c r="C211" s="10">
        <f>C190+C195+C200+C202+C204</f>
        <v>3046240</v>
      </c>
      <c r="D211" s="10">
        <f t="shared" ref="D211:M211" si="172">D190+D195+D200+D202+D204</f>
        <v>26099125.260000002</v>
      </c>
      <c r="E211" s="10">
        <f t="shared" si="172"/>
        <v>29145365.260000002</v>
      </c>
      <c r="F211" s="10">
        <f t="shared" si="172"/>
        <v>29145365.260000002</v>
      </c>
      <c r="G211" s="10">
        <f t="shared" si="172"/>
        <v>0</v>
      </c>
      <c r="H211" s="10">
        <f t="shared" si="172"/>
        <v>29145365.260000002</v>
      </c>
      <c r="I211" s="10">
        <f t="shared" si="172"/>
        <v>0</v>
      </c>
      <c r="J211" s="10">
        <f t="shared" si="172"/>
        <v>0</v>
      </c>
      <c r="K211" s="10">
        <f t="shared" si="172"/>
        <v>29145365.260000002</v>
      </c>
      <c r="L211" s="30">
        <f t="shared" si="172"/>
        <v>1462406.72</v>
      </c>
      <c r="M211" s="10">
        <f t="shared" si="172"/>
        <v>27682958.539999999</v>
      </c>
    </row>
    <row r="212" spans="1:13" ht="21.95" hidden="1" customHeight="1" x14ac:dyDescent="0.35">
      <c r="A212" s="85"/>
      <c r="B212" s="86"/>
      <c r="C212" s="87"/>
      <c r="D212" s="87"/>
      <c r="E212" s="87"/>
      <c r="F212" s="87"/>
      <c r="G212" s="87"/>
      <c r="H212" s="87"/>
      <c r="I212" s="87"/>
      <c r="J212" s="87"/>
      <c r="K212" s="87"/>
      <c r="L212" s="95"/>
      <c r="M212" s="87"/>
    </row>
    <row r="213" spans="1:13" s="32" customFormat="1" ht="21.95" customHeight="1" x14ac:dyDescent="0.25">
      <c r="A213" s="65">
        <v>6000</v>
      </c>
      <c r="B213" s="70" t="s">
        <v>233</v>
      </c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</row>
    <row r="214" spans="1:13" s="72" customFormat="1" ht="21.95" customHeight="1" x14ac:dyDescent="0.25">
      <c r="A214" s="65">
        <v>61000</v>
      </c>
      <c r="B214" s="70" t="s">
        <v>234</v>
      </c>
      <c r="C214" s="64">
        <f t="shared" ref="C214:M214" si="173">SUM(C215:C215)</f>
        <v>25000000</v>
      </c>
      <c r="D214" s="64">
        <f t="shared" si="173"/>
        <v>-25000000</v>
      </c>
      <c r="E214" s="64">
        <f t="shared" si="173"/>
        <v>0</v>
      </c>
      <c r="F214" s="64">
        <f t="shared" si="173"/>
        <v>0</v>
      </c>
      <c r="G214" s="64">
        <f t="shared" si="173"/>
        <v>0</v>
      </c>
      <c r="H214" s="64">
        <f t="shared" si="173"/>
        <v>0</v>
      </c>
      <c r="I214" s="64">
        <f t="shared" si="173"/>
        <v>0</v>
      </c>
      <c r="J214" s="64">
        <f t="shared" si="173"/>
        <v>0</v>
      </c>
      <c r="K214" s="64">
        <f t="shared" si="173"/>
        <v>0</v>
      </c>
      <c r="L214" s="64">
        <f t="shared" si="173"/>
        <v>0</v>
      </c>
      <c r="M214" s="64">
        <f t="shared" si="173"/>
        <v>0</v>
      </c>
    </row>
    <row r="215" spans="1:13" s="32" customFormat="1" ht="20.100000000000001" customHeight="1" x14ac:dyDescent="0.25">
      <c r="A215" s="17">
        <v>61202</v>
      </c>
      <c r="B215" s="82" t="s">
        <v>232</v>
      </c>
      <c r="C215" s="44">
        <v>25000000</v>
      </c>
      <c r="D215" s="44">
        <v>-25000000</v>
      </c>
      <c r="E215" s="44">
        <f>C215+D215</f>
        <v>0</v>
      </c>
      <c r="F215" s="44">
        <v>0</v>
      </c>
      <c r="G215" s="44">
        <f>E215-F215</f>
        <v>0</v>
      </c>
      <c r="H215" s="44">
        <f>F215</f>
        <v>0</v>
      </c>
      <c r="I215" s="44">
        <f>F215-H215</f>
        <v>0</v>
      </c>
      <c r="J215" s="44">
        <f>E215-H215</f>
        <v>0</v>
      </c>
      <c r="K215" s="44">
        <f>F215</f>
        <v>0</v>
      </c>
      <c r="L215" s="44">
        <f t="shared" ref="L215" si="174">K215</f>
        <v>0</v>
      </c>
      <c r="M215" s="44">
        <f>H215-L215</f>
        <v>0</v>
      </c>
    </row>
    <row r="216" spans="1:13" s="32" customFormat="1" ht="15.75" thickBot="1" x14ac:dyDescent="0.3">
      <c r="A216" s="25"/>
      <c r="B216" s="84"/>
      <c r="C216" s="50"/>
      <c r="D216" s="50"/>
      <c r="E216" s="44"/>
      <c r="F216" s="50"/>
      <c r="G216" s="50"/>
      <c r="H216" s="44"/>
      <c r="I216" s="44"/>
      <c r="J216" s="44"/>
      <c r="K216" s="44"/>
      <c r="L216" s="44"/>
      <c r="M216" s="44"/>
    </row>
    <row r="217" spans="1:13" s="32" customFormat="1" ht="21.95" customHeight="1" thickBot="1" x14ac:dyDescent="0.3">
      <c r="A217" s="16"/>
      <c r="B217" s="78" t="s">
        <v>231</v>
      </c>
      <c r="C217" s="30">
        <f>C214</f>
        <v>25000000</v>
      </c>
      <c r="D217" s="30">
        <f t="shared" ref="D217:M217" si="175">D214</f>
        <v>-25000000</v>
      </c>
      <c r="E217" s="30">
        <f t="shared" si="175"/>
        <v>0</v>
      </c>
      <c r="F217" s="30">
        <f t="shared" si="175"/>
        <v>0</v>
      </c>
      <c r="G217" s="30">
        <f t="shared" si="175"/>
        <v>0</v>
      </c>
      <c r="H217" s="30">
        <f t="shared" si="175"/>
        <v>0</v>
      </c>
      <c r="I217" s="30">
        <f t="shared" si="175"/>
        <v>0</v>
      </c>
      <c r="J217" s="30">
        <f t="shared" si="175"/>
        <v>0</v>
      </c>
      <c r="K217" s="30">
        <f t="shared" si="175"/>
        <v>0</v>
      </c>
      <c r="L217" s="30">
        <f t="shared" si="175"/>
        <v>0</v>
      </c>
      <c r="M217" s="30">
        <f t="shared" si="175"/>
        <v>0</v>
      </c>
    </row>
    <row r="218" spans="1:13" ht="15.75" thickBot="1" x14ac:dyDescent="0.3">
      <c r="A218" s="52"/>
      <c r="B218" s="34"/>
      <c r="C218" s="53"/>
      <c r="D218" s="53"/>
      <c r="E218" s="54"/>
      <c r="F218" s="53"/>
      <c r="G218" s="54"/>
      <c r="H218" s="53"/>
      <c r="I218" s="53"/>
      <c r="J218" s="53"/>
      <c r="K218" s="53"/>
      <c r="L218" s="54"/>
      <c r="M218" s="53"/>
    </row>
    <row r="219" spans="1:13" ht="30.75" customHeight="1" thickBot="1" x14ac:dyDescent="0.3">
      <c r="A219" s="4"/>
      <c r="B219" s="4" t="s">
        <v>21</v>
      </c>
      <c r="C219" s="10">
        <f t="shared" ref="C219:M219" si="176">C74+C118+C179+C187+C211+C217</f>
        <v>1300299104</v>
      </c>
      <c r="D219" s="10">
        <f t="shared" si="176"/>
        <v>307306871.58999997</v>
      </c>
      <c r="E219" s="30">
        <f t="shared" si="176"/>
        <v>1607605975.5900002</v>
      </c>
      <c r="F219" s="10">
        <f t="shared" si="176"/>
        <v>1762519478.3700001</v>
      </c>
      <c r="G219" s="30">
        <f t="shared" si="176"/>
        <v>-154913502.78</v>
      </c>
      <c r="H219" s="10">
        <f t="shared" si="176"/>
        <v>1762519478.3700001</v>
      </c>
      <c r="I219" s="10">
        <f t="shared" si="176"/>
        <v>0</v>
      </c>
      <c r="J219" s="10">
        <f t="shared" si="176"/>
        <v>-154913502.78</v>
      </c>
      <c r="K219" s="10">
        <f t="shared" si="176"/>
        <v>1762519478.3700001</v>
      </c>
      <c r="L219" s="30">
        <f t="shared" si="176"/>
        <v>1372246351.6300001</v>
      </c>
      <c r="M219" s="10">
        <f t="shared" si="176"/>
        <v>390273126.73999995</v>
      </c>
    </row>
    <row r="220" spans="1:13" ht="66.75" customHeight="1" x14ac:dyDescent="0.25">
      <c r="A220" s="105" t="s">
        <v>171</v>
      </c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</row>
    <row r="221" spans="1:13" ht="32.25" customHeight="1" x14ac:dyDescent="0.25">
      <c r="A221" s="100" t="s">
        <v>22</v>
      </c>
      <c r="B221" s="100"/>
      <c r="C221" s="100"/>
      <c r="D221" s="100" t="s">
        <v>23</v>
      </c>
      <c r="E221" s="100"/>
      <c r="F221" s="100"/>
      <c r="G221" s="100"/>
      <c r="H221" s="100"/>
      <c r="I221" s="55"/>
      <c r="J221" s="100" t="s">
        <v>24</v>
      </c>
      <c r="K221" s="100"/>
      <c r="L221" s="100"/>
      <c r="M221" s="55"/>
    </row>
    <row r="222" spans="1:13" ht="15.75" x14ac:dyDescent="0.25">
      <c r="A222" s="100"/>
      <c r="B222" s="100"/>
      <c r="C222" s="100"/>
      <c r="D222" s="55"/>
      <c r="E222" s="66"/>
      <c r="F222" s="55"/>
      <c r="G222" s="100"/>
      <c r="H222" s="100"/>
      <c r="I222" s="55"/>
      <c r="J222" s="100"/>
      <c r="K222" s="100"/>
      <c r="L222" s="55"/>
      <c r="M222" s="55"/>
    </row>
    <row r="223" spans="1:13" ht="15.75" x14ac:dyDescent="0.25">
      <c r="A223" s="55"/>
      <c r="B223" s="55"/>
      <c r="C223" s="67"/>
      <c r="D223" s="67"/>
      <c r="E223" s="68"/>
      <c r="F223" s="67"/>
      <c r="G223" s="68"/>
      <c r="H223" s="67"/>
      <c r="I223" s="67"/>
      <c r="J223" s="67"/>
      <c r="K223" s="67"/>
      <c r="L223" s="67"/>
      <c r="M223" s="67"/>
    </row>
    <row r="224" spans="1:13" ht="15.75" x14ac:dyDescent="0.25">
      <c r="A224" s="55"/>
      <c r="B224" s="55"/>
      <c r="C224" s="55"/>
      <c r="D224" s="57"/>
      <c r="E224" s="58"/>
      <c r="F224" s="57"/>
      <c r="G224" s="56"/>
      <c r="H224" s="55"/>
      <c r="I224" s="55"/>
      <c r="J224" s="55"/>
      <c r="K224" s="55"/>
      <c r="L224" s="55"/>
      <c r="M224" s="55"/>
    </row>
    <row r="225" spans="1:13" ht="15.75" customHeight="1" x14ac:dyDescent="0.25">
      <c r="A225" s="101" t="s">
        <v>25</v>
      </c>
      <c r="B225" s="101"/>
      <c r="C225" s="101"/>
      <c r="D225" s="102" t="s">
        <v>175</v>
      </c>
      <c r="E225" s="102"/>
      <c r="F225" s="102"/>
      <c r="G225" s="102"/>
      <c r="H225" s="57"/>
      <c r="I225" s="55"/>
      <c r="J225" s="101" t="s">
        <v>169</v>
      </c>
      <c r="K225" s="101"/>
      <c r="L225" s="101"/>
      <c r="M225" s="55"/>
    </row>
    <row r="226" spans="1:13" ht="15.75" x14ac:dyDescent="0.25">
      <c r="A226" s="100" t="s">
        <v>26</v>
      </c>
      <c r="B226" s="100"/>
      <c r="C226" s="100"/>
      <c r="D226" s="100" t="s">
        <v>27</v>
      </c>
      <c r="E226" s="100"/>
      <c r="F226" s="100"/>
      <c r="G226" s="100"/>
      <c r="H226" s="55"/>
      <c r="I226" s="100" t="s">
        <v>28</v>
      </c>
      <c r="J226" s="100"/>
      <c r="K226" s="100"/>
      <c r="L226" s="100"/>
      <c r="M226" s="55"/>
    </row>
  </sheetData>
  <mergeCells count="16">
    <mergeCell ref="A2:M2"/>
    <mergeCell ref="A4:M4"/>
    <mergeCell ref="A220:M220"/>
    <mergeCell ref="A221:C221"/>
    <mergeCell ref="D221:F221"/>
    <mergeCell ref="G221:H221"/>
    <mergeCell ref="J221:L221"/>
    <mergeCell ref="A226:C226"/>
    <mergeCell ref="D226:G226"/>
    <mergeCell ref="I226:L226"/>
    <mergeCell ref="A222:C222"/>
    <mergeCell ref="G222:H222"/>
    <mergeCell ref="J222:K222"/>
    <mergeCell ref="A225:C225"/>
    <mergeCell ref="D225:G225"/>
    <mergeCell ref="J225:L225"/>
  </mergeCells>
  <conditionalFormatting sqref="G221:G222 G186 G180:G181 G178 G76 G1:G4 G73 G188:G189 G119:G120 G210 G218 G7:G8 G227:G1048576 G224">
    <cfRule type="cellIs" dxfId="13" priority="4" operator="lessThan">
      <formula>0</formula>
    </cfRule>
  </conditionalFormatting>
  <conditionalFormatting sqref="E227:E1048576 E1:E4 E7:E8 E222 D221 E224">
    <cfRule type="cellIs" dxfId="12" priority="2" operator="lessThan">
      <formula>0</formula>
    </cfRule>
    <cfRule type="cellIs" dxfId="11" priority="3" operator="lessThan">
      <formula>0</formula>
    </cfRule>
  </conditionalFormatting>
  <conditionalFormatting sqref="G216 G213">
    <cfRule type="cellIs" dxfId="10" priority="1" operator="lessThan">
      <formula>0</formula>
    </cfRule>
  </conditionalFormatting>
  <printOptions horizontalCentered="1"/>
  <pageMargins left="0.15748031496062992" right="0.15748031496062992" top="0.62992125984251968" bottom="0.39370078740157483" header="0.31496062992125984" footer="0.31496062992125984"/>
  <pageSetup paperSize="9" scale="60" fitToHeight="3" orientation="landscape" r:id="rId1"/>
  <headerFooter>
    <oddHeader xml:space="preserve">&amp;C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M225"/>
  <sheetViews>
    <sheetView showRuler="0" zoomScaleNormal="100" zoomScalePageLayoutView="83" workbookViewId="0">
      <pane ySplit="7" topLeftCell="A8" activePane="bottomLeft" state="frozen"/>
      <selection pane="bottomLeft" activeCell="A172" sqref="A172"/>
    </sheetView>
  </sheetViews>
  <sheetFormatPr baseColWidth="10" defaultRowHeight="15" x14ac:dyDescent="0.25"/>
  <cols>
    <col min="1" max="1" width="13.7109375" style="69" customWidth="1"/>
    <col min="2" max="2" width="44.5703125" customWidth="1"/>
    <col min="3" max="3" width="30.85546875" customWidth="1"/>
    <col min="4" max="4" width="17" customWidth="1"/>
    <col min="5" max="5" width="23.28515625" style="32" customWidth="1"/>
    <col min="6" max="6" width="24.5703125" customWidth="1"/>
    <col min="7" max="7" width="17.85546875" style="32" hidden="1" customWidth="1"/>
    <col min="8" max="8" width="20.5703125" customWidth="1"/>
    <col min="9" max="9" width="15.85546875" hidden="1" customWidth="1"/>
    <col min="10" max="10" width="18" hidden="1" customWidth="1"/>
    <col min="11" max="12" width="20.5703125" bestFit="1" customWidth="1"/>
    <col min="13" max="13" width="22.28515625" bestFit="1" customWidth="1"/>
  </cols>
  <sheetData>
    <row r="1" spans="1:13" x14ac:dyDescent="0.25">
      <c r="A1" s="94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3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9.75" customHeight="1" x14ac:dyDescent="0.25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7.100000000000001" customHeight="1" x14ac:dyDescent="0.25">
      <c r="A5" s="104" t="s">
        <v>244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45" x14ac:dyDescent="0.25">
      <c r="A6" s="88"/>
      <c r="B6" s="28" t="s">
        <v>2</v>
      </c>
      <c r="C6" s="29" t="s">
        <v>3</v>
      </c>
      <c r="D6" s="29" t="s">
        <v>179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  <c r="K6" s="29" t="s">
        <v>10</v>
      </c>
      <c r="L6" s="29" t="s">
        <v>11</v>
      </c>
      <c r="M6" s="29" t="s">
        <v>178</v>
      </c>
    </row>
    <row r="7" spans="1:13" s="22" customFormat="1" ht="20.100000000000001" customHeight="1" x14ac:dyDescent="0.25">
      <c r="A7" s="35" t="s">
        <v>1</v>
      </c>
      <c r="B7" s="28" t="s">
        <v>12</v>
      </c>
      <c r="C7" s="28">
        <v>1</v>
      </c>
      <c r="D7" s="28">
        <v>2</v>
      </c>
      <c r="E7" s="28">
        <v>3</v>
      </c>
      <c r="F7" s="28">
        <v>4</v>
      </c>
      <c r="G7" s="28" t="s">
        <v>13</v>
      </c>
      <c r="H7" s="28">
        <v>6</v>
      </c>
      <c r="I7" s="28" t="s">
        <v>14</v>
      </c>
      <c r="J7" s="28" t="s">
        <v>15</v>
      </c>
      <c r="K7" s="28">
        <v>9</v>
      </c>
      <c r="L7" s="28">
        <v>10</v>
      </c>
      <c r="M7" s="28" t="s">
        <v>16</v>
      </c>
    </row>
    <row r="8" spans="1:13" ht="18" customHeight="1" x14ac:dyDescent="0.25">
      <c r="A8" s="36"/>
      <c r="B8" s="37"/>
      <c r="C8" s="38"/>
      <c r="D8" s="38"/>
      <c r="E8" s="39"/>
      <c r="F8" s="38"/>
      <c r="G8" s="40"/>
      <c r="H8" s="41"/>
      <c r="I8" s="38"/>
      <c r="J8" s="38"/>
      <c r="K8" s="38"/>
      <c r="L8" s="38"/>
      <c r="M8" s="42"/>
    </row>
    <row r="9" spans="1:13" s="32" customFormat="1" ht="20.100000000000001" customHeight="1" x14ac:dyDescent="0.25">
      <c r="A9" s="65">
        <v>1000</v>
      </c>
      <c r="B9" s="70" t="s">
        <v>17</v>
      </c>
      <c r="C9" s="44" t="s">
        <v>1</v>
      </c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s="72" customFormat="1" ht="30" x14ac:dyDescent="0.25">
      <c r="A10" s="65">
        <v>1100</v>
      </c>
      <c r="B10" s="71" t="s">
        <v>224</v>
      </c>
      <c r="C10" s="64">
        <f>SUM(C11:C11)</f>
        <v>255949053</v>
      </c>
      <c r="D10" s="64">
        <f t="shared" ref="D10:M12" si="0">SUM(D11:D11)</f>
        <v>14719252.58</v>
      </c>
      <c r="E10" s="64">
        <v>270668305.57999998</v>
      </c>
      <c r="F10" s="64">
        <f t="shared" si="0"/>
        <v>270668305.57999998</v>
      </c>
      <c r="G10" s="64">
        <f t="shared" si="0"/>
        <v>0</v>
      </c>
      <c r="H10" s="64">
        <f t="shared" si="0"/>
        <v>270668305.57999998</v>
      </c>
      <c r="I10" s="64">
        <f t="shared" si="0"/>
        <v>0</v>
      </c>
      <c r="J10" s="64">
        <f t="shared" si="0"/>
        <v>0</v>
      </c>
      <c r="K10" s="64">
        <f t="shared" si="0"/>
        <v>270668305.57999998</v>
      </c>
      <c r="L10" s="64">
        <f t="shared" si="0"/>
        <v>263529703.53999999</v>
      </c>
      <c r="M10" s="64">
        <f t="shared" si="0"/>
        <v>7138602.04</v>
      </c>
    </row>
    <row r="11" spans="1:13" s="32" customFormat="1" ht="21" customHeight="1" x14ac:dyDescent="0.25">
      <c r="A11" s="17">
        <v>11301</v>
      </c>
      <c r="B11" s="8" t="s">
        <v>29</v>
      </c>
      <c r="C11" s="44">
        <v>255949053</v>
      </c>
      <c r="D11" s="44">
        <f>4459297.84+12114808.5+7986580.8-9841434.56</f>
        <v>14719252.58</v>
      </c>
      <c r="E11" s="44">
        <v>270668305.57999998</v>
      </c>
      <c r="F11" s="73">
        <v>270668305.57999998</v>
      </c>
      <c r="G11" s="44">
        <f>E11-F11</f>
        <v>0</v>
      </c>
      <c r="H11" s="44">
        <f>F11</f>
        <v>270668305.57999998</v>
      </c>
      <c r="I11" s="44">
        <f>F11-H11</f>
        <v>0</v>
      </c>
      <c r="J11" s="44">
        <f>E11-H11</f>
        <v>0</v>
      </c>
      <c r="K11" s="44">
        <f>F11</f>
        <v>270668305.57999998</v>
      </c>
      <c r="L11" s="44">
        <f>K11-M11</f>
        <v>263529703.53999999</v>
      </c>
      <c r="M11" s="44">
        <v>7138602.04</v>
      </c>
    </row>
    <row r="12" spans="1:13" s="72" customFormat="1" ht="27" customHeight="1" x14ac:dyDescent="0.25">
      <c r="A12" s="65">
        <v>1200</v>
      </c>
      <c r="B12" s="71" t="s">
        <v>194</v>
      </c>
      <c r="C12" s="64">
        <f>SUM(C13:C13)</f>
        <v>0</v>
      </c>
      <c r="D12" s="64">
        <f t="shared" si="0"/>
        <v>0</v>
      </c>
      <c r="E12" s="64">
        <v>0</v>
      </c>
      <c r="F12" s="44">
        <f t="shared" si="0"/>
        <v>0</v>
      </c>
      <c r="G12" s="64">
        <f t="shared" si="0"/>
        <v>0</v>
      </c>
      <c r="H12" s="64">
        <f t="shared" si="0"/>
        <v>0</v>
      </c>
      <c r="I12" s="64">
        <f t="shared" si="0"/>
        <v>0</v>
      </c>
      <c r="J12" s="64">
        <f t="shared" si="0"/>
        <v>0</v>
      </c>
      <c r="K12" s="64">
        <f t="shared" si="0"/>
        <v>0</v>
      </c>
      <c r="L12" s="64">
        <f t="shared" si="0"/>
        <v>0</v>
      </c>
      <c r="M12" s="64">
        <f t="shared" si="0"/>
        <v>0</v>
      </c>
    </row>
    <row r="13" spans="1:13" s="32" customFormat="1" ht="21" customHeight="1" x14ac:dyDescent="0.25">
      <c r="A13" s="17">
        <v>12101</v>
      </c>
      <c r="B13" s="8" t="s">
        <v>30</v>
      </c>
      <c r="C13" s="44">
        <v>0</v>
      </c>
      <c r="D13" s="44">
        <v>0</v>
      </c>
      <c r="E13" s="44">
        <v>0</v>
      </c>
      <c r="F13" s="44">
        <v>0</v>
      </c>
      <c r="G13" s="44">
        <f t="shared" ref="G13:G74" si="1">E13-F13</f>
        <v>0</v>
      </c>
      <c r="H13" s="44">
        <f>F13</f>
        <v>0</v>
      </c>
      <c r="I13" s="44">
        <f>F13-H13</f>
        <v>0</v>
      </c>
      <c r="J13" s="44">
        <f t="shared" ref="J13:J74" si="2">E13-H13</f>
        <v>0</v>
      </c>
      <c r="K13" s="44">
        <f>F13</f>
        <v>0</v>
      </c>
      <c r="L13" s="44">
        <f t="shared" ref="L13:L75" si="3">K13</f>
        <v>0</v>
      </c>
      <c r="M13" s="44">
        <f>H13-L13</f>
        <v>0</v>
      </c>
    </row>
    <row r="14" spans="1:13" s="72" customFormat="1" ht="20.100000000000001" customHeight="1" x14ac:dyDescent="0.25">
      <c r="A14" s="65">
        <v>1300</v>
      </c>
      <c r="B14" s="71" t="s">
        <v>195</v>
      </c>
      <c r="C14" s="64">
        <f t="shared" ref="C14:M14" si="4">SUM(C15:C25)</f>
        <v>172720031</v>
      </c>
      <c r="D14" s="64">
        <f t="shared" si="4"/>
        <v>61027245.07</v>
      </c>
      <c r="E14" s="64">
        <v>233747276.06999999</v>
      </c>
      <c r="F14" s="64">
        <f t="shared" si="4"/>
        <v>263371577.47999999</v>
      </c>
      <c r="G14" s="64">
        <f t="shared" si="4"/>
        <v>-29624301.41</v>
      </c>
      <c r="H14" s="64">
        <f t="shared" si="4"/>
        <v>263371577.47999999</v>
      </c>
      <c r="I14" s="64">
        <f t="shared" si="4"/>
        <v>0</v>
      </c>
      <c r="J14" s="64">
        <f t="shared" si="4"/>
        <v>-29624301.41</v>
      </c>
      <c r="K14" s="64">
        <f t="shared" si="4"/>
        <v>263371577.47999999</v>
      </c>
      <c r="L14" s="64">
        <f t="shared" si="4"/>
        <v>207541195.61000004</v>
      </c>
      <c r="M14" s="64">
        <f t="shared" si="4"/>
        <v>55830381.870000005</v>
      </c>
    </row>
    <row r="15" spans="1:13" s="32" customFormat="1" ht="30" x14ac:dyDescent="0.25">
      <c r="A15" s="17">
        <v>13101</v>
      </c>
      <c r="B15" s="8" t="s">
        <v>90</v>
      </c>
      <c r="C15" s="44">
        <v>99507545</v>
      </c>
      <c r="D15" s="44">
        <f>3920431.74+3253467.5+3416871.58-150272.62</f>
        <v>10440498.200000001</v>
      </c>
      <c r="E15" s="44">
        <v>109948043.2</v>
      </c>
      <c r="F15" s="44">
        <v>109948043.2</v>
      </c>
      <c r="G15" s="44">
        <f t="shared" si="1"/>
        <v>0</v>
      </c>
      <c r="H15" s="44">
        <f t="shared" ref="H15:H75" si="5">F15</f>
        <v>109948043.2</v>
      </c>
      <c r="I15" s="44">
        <f t="shared" ref="I15:I75" si="6">F15-H15</f>
        <v>0</v>
      </c>
      <c r="J15" s="44">
        <f t="shared" si="2"/>
        <v>0</v>
      </c>
      <c r="K15" s="44">
        <f t="shared" ref="K15:K75" si="7">F15</f>
        <v>109948043.2</v>
      </c>
      <c r="L15" s="44">
        <f>K15-M15</f>
        <v>105547210.93000001</v>
      </c>
      <c r="M15" s="44">
        <v>4400832.2699999996</v>
      </c>
    </row>
    <row r="16" spans="1:13" s="32" customFormat="1" ht="20.100000000000001" customHeight="1" x14ac:dyDescent="0.25">
      <c r="A16" s="17">
        <v>13103</v>
      </c>
      <c r="B16" s="8" t="s">
        <v>104</v>
      </c>
      <c r="C16" s="26">
        <v>10853077</v>
      </c>
      <c r="D16" s="26">
        <v>0</v>
      </c>
      <c r="E16" s="44">
        <v>10853077</v>
      </c>
      <c r="F16" s="44">
        <v>38559727.920000002</v>
      </c>
      <c r="G16" s="44">
        <f t="shared" si="1"/>
        <v>-27706650.920000002</v>
      </c>
      <c r="H16" s="44">
        <f t="shared" si="5"/>
        <v>38559727.920000002</v>
      </c>
      <c r="I16" s="44">
        <f t="shared" si="6"/>
        <v>0</v>
      </c>
      <c r="J16" s="44">
        <f t="shared" si="2"/>
        <v>-27706650.920000002</v>
      </c>
      <c r="K16" s="44">
        <f t="shared" si="7"/>
        <v>38559727.920000002</v>
      </c>
      <c r="L16" s="44">
        <f>K16-M16</f>
        <v>16962694.460000001</v>
      </c>
      <c r="M16" s="44">
        <f>21379974.2+217059.26</f>
        <v>21597033.460000001</v>
      </c>
    </row>
    <row r="17" spans="1:13" s="32" customFormat="1" ht="20.100000000000001" customHeight="1" x14ac:dyDescent="0.25">
      <c r="A17" s="17">
        <v>13105</v>
      </c>
      <c r="B17" s="8" t="s">
        <v>105</v>
      </c>
      <c r="C17" s="44">
        <v>0</v>
      </c>
      <c r="D17" s="44">
        <f>4439482.8+10176100.38+709624.08</f>
        <v>15325207.26</v>
      </c>
      <c r="E17" s="44">
        <v>15325207.26</v>
      </c>
      <c r="F17" s="44">
        <v>15325207.26</v>
      </c>
      <c r="G17" s="44">
        <f t="shared" si="1"/>
        <v>0</v>
      </c>
      <c r="H17" s="44">
        <f t="shared" si="5"/>
        <v>15325207.26</v>
      </c>
      <c r="I17" s="44">
        <f t="shared" si="6"/>
        <v>0</v>
      </c>
      <c r="J17" s="44">
        <f t="shared" si="2"/>
        <v>0</v>
      </c>
      <c r="K17" s="44">
        <f t="shared" si="7"/>
        <v>15325207.26</v>
      </c>
      <c r="L17" s="44">
        <f>K17-M17</f>
        <v>14590403.83</v>
      </c>
      <c r="M17" s="44">
        <v>734803.43</v>
      </c>
    </row>
    <row r="18" spans="1:13" s="32" customFormat="1" ht="20.100000000000001" customHeight="1" x14ac:dyDescent="0.25">
      <c r="A18" s="17">
        <v>13201</v>
      </c>
      <c r="B18" s="8" t="s">
        <v>161</v>
      </c>
      <c r="C18" s="44">
        <v>24988194</v>
      </c>
      <c r="D18" s="44">
        <f>969238.8+4321671.96+1024552+4459297.84+9886200.88</f>
        <v>20660961.48</v>
      </c>
      <c r="E18" s="44">
        <v>45649155.480000004</v>
      </c>
      <c r="F18" s="44">
        <v>45649155.479999997</v>
      </c>
      <c r="G18" s="44">
        <f t="shared" si="1"/>
        <v>0</v>
      </c>
      <c r="H18" s="44">
        <f t="shared" si="5"/>
        <v>45649155.479999997</v>
      </c>
      <c r="I18" s="44">
        <f t="shared" si="6"/>
        <v>0</v>
      </c>
      <c r="J18" s="44">
        <f t="shared" si="2"/>
        <v>0</v>
      </c>
      <c r="K18" s="44">
        <f t="shared" si="7"/>
        <v>45649155.479999997</v>
      </c>
      <c r="L18" s="44">
        <f>K18-M18</f>
        <v>43691201.809999995</v>
      </c>
      <c r="M18" s="44">
        <v>1957953.67</v>
      </c>
    </row>
    <row r="19" spans="1:13" s="32" customFormat="1" ht="20.100000000000001" customHeight="1" x14ac:dyDescent="0.25">
      <c r="A19" s="17">
        <v>13202</v>
      </c>
      <c r="B19" s="8" t="s">
        <v>31</v>
      </c>
      <c r="C19" s="44">
        <v>31728439</v>
      </c>
      <c r="D19" s="44">
        <f>10932727.47+1707587+1618495.63</f>
        <v>14258810.100000001</v>
      </c>
      <c r="E19" s="44">
        <v>45987249.100000001</v>
      </c>
      <c r="F19" s="44">
        <v>45987249.100000001</v>
      </c>
      <c r="G19" s="44">
        <f t="shared" si="1"/>
        <v>0</v>
      </c>
      <c r="H19" s="44">
        <f t="shared" si="5"/>
        <v>45987249.100000001</v>
      </c>
      <c r="I19" s="44">
        <f t="shared" si="6"/>
        <v>0</v>
      </c>
      <c r="J19" s="44">
        <f t="shared" si="2"/>
        <v>0</v>
      </c>
      <c r="K19" s="44">
        <f t="shared" si="7"/>
        <v>45987249.100000001</v>
      </c>
      <c r="L19" s="44">
        <f>K19-M19</f>
        <v>21311541.609999999</v>
      </c>
      <c r="M19" s="44">
        <f>2006594.23+22669113.26</f>
        <v>24675707.490000002</v>
      </c>
    </row>
    <row r="20" spans="1:13" s="32" customFormat="1" ht="20.100000000000001" customHeight="1" x14ac:dyDescent="0.25">
      <c r="A20" s="17">
        <v>13401</v>
      </c>
      <c r="B20" s="8" t="s">
        <v>32</v>
      </c>
      <c r="C20" s="44">
        <v>0</v>
      </c>
      <c r="D20" s="44">
        <v>0</v>
      </c>
      <c r="E20" s="44">
        <v>0</v>
      </c>
      <c r="F20" s="44">
        <v>103955</v>
      </c>
      <c r="G20" s="44">
        <f t="shared" si="1"/>
        <v>-103955</v>
      </c>
      <c r="H20" s="44">
        <f t="shared" si="5"/>
        <v>103955</v>
      </c>
      <c r="I20" s="44">
        <f t="shared" si="6"/>
        <v>0</v>
      </c>
      <c r="J20" s="44">
        <f t="shared" si="2"/>
        <v>-103955</v>
      </c>
      <c r="K20" s="44">
        <f t="shared" si="7"/>
        <v>103955</v>
      </c>
      <c r="L20" s="44">
        <v>0</v>
      </c>
      <c r="M20" s="44">
        <v>103955</v>
      </c>
    </row>
    <row r="21" spans="1:13" s="32" customFormat="1" ht="30" x14ac:dyDescent="0.25">
      <c r="A21" s="17">
        <v>13409</v>
      </c>
      <c r="B21" s="8" t="s">
        <v>33</v>
      </c>
      <c r="C21" s="44">
        <v>5472490</v>
      </c>
      <c r="D21" s="44">
        <f>-170675.24-196591.79</f>
        <v>-367267.03</v>
      </c>
      <c r="E21" s="44">
        <v>5105222.97</v>
      </c>
      <c r="F21" s="44">
        <v>5105222.97</v>
      </c>
      <c r="G21" s="44">
        <f t="shared" si="1"/>
        <v>0</v>
      </c>
      <c r="H21" s="44">
        <f t="shared" si="5"/>
        <v>5105222.97</v>
      </c>
      <c r="I21" s="44">
        <f t="shared" si="6"/>
        <v>0</v>
      </c>
      <c r="J21" s="44">
        <f t="shared" si="2"/>
        <v>0</v>
      </c>
      <c r="K21" s="44">
        <f t="shared" si="7"/>
        <v>5105222.97</v>
      </c>
      <c r="L21" s="44">
        <f t="shared" si="3"/>
        <v>5105222.97</v>
      </c>
      <c r="M21" s="44">
        <f t="shared" ref="M21:M75" si="8">H21-L21</f>
        <v>0</v>
      </c>
    </row>
    <row r="22" spans="1:13" s="32" customFormat="1" ht="30" x14ac:dyDescent="0.25">
      <c r="A22" s="17">
        <v>13410</v>
      </c>
      <c r="B22" s="8" t="s">
        <v>34</v>
      </c>
      <c r="C22" s="44">
        <v>0</v>
      </c>
      <c r="D22" s="44">
        <v>546401.06000000006</v>
      </c>
      <c r="E22" s="44">
        <v>546401.06000000006</v>
      </c>
      <c r="F22" s="44">
        <v>546401.06000000006</v>
      </c>
      <c r="G22" s="44">
        <f t="shared" si="1"/>
        <v>0</v>
      </c>
      <c r="H22" s="44">
        <f t="shared" si="5"/>
        <v>546401.06000000006</v>
      </c>
      <c r="I22" s="44">
        <f t="shared" si="6"/>
        <v>0</v>
      </c>
      <c r="J22" s="44">
        <f t="shared" si="2"/>
        <v>0</v>
      </c>
      <c r="K22" s="44">
        <f t="shared" si="7"/>
        <v>546401.06000000006</v>
      </c>
      <c r="L22" s="44">
        <v>0</v>
      </c>
      <c r="M22" s="44">
        <v>546401.06000000006</v>
      </c>
    </row>
    <row r="23" spans="1:13" s="32" customFormat="1" ht="20.100000000000001" customHeight="1" x14ac:dyDescent="0.25">
      <c r="A23" s="17">
        <v>13415</v>
      </c>
      <c r="B23" s="8" t="s">
        <v>125</v>
      </c>
      <c r="C23" s="44">
        <v>0</v>
      </c>
      <c r="D23" s="44">
        <v>0</v>
      </c>
      <c r="E23" s="44">
        <v>0</v>
      </c>
      <c r="F23" s="44">
        <v>1801695.49</v>
      </c>
      <c r="G23" s="44">
        <f t="shared" si="1"/>
        <v>-1801695.49</v>
      </c>
      <c r="H23" s="44">
        <f t="shared" si="5"/>
        <v>1801695.49</v>
      </c>
      <c r="I23" s="44">
        <f t="shared" si="6"/>
        <v>0</v>
      </c>
      <c r="J23" s="44">
        <f t="shared" si="2"/>
        <v>-1801695.49</v>
      </c>
      <c r="K23" s="44">
        <f t="shared" si="7"/>
        <v>1801695.49</v>
      </c>
      <c r="L23" s="44">
        <v>0</v>
      </c>
      <c r="M23" s="44">
        <v>1801695.49</v>
      </c>
    </row>
    <row r="24" spans="1:13" s="32" customFormat="1" ht="20.100000000000001" customHeight="1" x14ac:dyDescent="0.25">
      <c r="A24" s="17">
        <v>13416</v>
      </c>
      <c r="B24" s="8" t="s">
        <v>106</v>
      </c>
      <c r="C24" s="44">
        <v>170286</v>
      </c>
      <c r="D24" s="44">
        <v>-170286</v>
      </c>
      <c r="E24" s="44">
        <v>0</v>
      </c>
      <c r="F24" s="44">
        <v>12000</v>
      </c>
      <c r="G24" s="44">
        <f t="shared" si="1"/>
        <v>-12000</v>
      </c>
      <c r="H24" s="44">
        <f t="shared" si="5"/>
        <v>12000</v>
      </c>
      <c r="I24" s="44">
        <f t="shared" si="6"/>
        <v>0</v>
      </c>
      <c r="J24" s="44">
        <f t="shared" si="2"/>
        <v>-12000</v>
      </c>
      <c r="K24" s="44">
        <f t="shared" si="7"/>
        <v>12000</v>
      </c>
      <c r="L24" s="44">
        <v>0</v>
      </c>
      <c r="M24" s="44">
        <v>12000</v>
      </c>
    </row>
    <row r="25" spans="1:13" s="32" customFormat="1" ht="30" x14ac:dyDescent="0.25">
      <c r="A25" s="17">
        <v>13417</v>
      </c>
      <c r="B25" s="8" t="s">
        <v>107</v>
      </c>
      <c r="C25" s="44">
        <v>0</v>
      </c>
      <c r="D25" s="44">
        <f>2420920-1211040-876960</f>
        <v>332920</v>
      </c>
      <c r="E25" s="44">
        <v>332920</v>
      </c>
      <c r="F25" s="44">
        <v>332920</v>
      </c>
      <c r="G25" s="44">
        <f t="shared" si="1"/>
        <v>0</v>
      </c>
      <c r="H25" s="44">
        <f t="shared" si="5"/>
        <v>332920</v>
      </c>
      <c r="I25" s="44">
        <f t="shared" si="6"/>
        <v>0</v>
      </c>
      <c r="J25" s="44">
        <f t="shared" si="2"/>
        <v>0</v>
      </c>
      <c r="K25" s="44">
        <f t="shared" si="7"/>
        <v>332920</v>
      </c>
      <c r="L25" s="44">
        <f t="shared" si="3"/>
        <v>332920</v>
      </c>
      <c r="M25" s="44">
        <f t="shared" si="8"/>
        <v>0</v>
      </c>
    </row>
    <row r="26" spans="1:13" s="72" customFormat="1" ht="20.100000000000001" customHeight="1" x14ac:dyDescent="0.25">
      <c r="A26" s="65">
        <v>1400</v>
      </c>
      <c r="B26" s="71" t="s">
        <v>196</v>
      </c>
      <c r="C26" s="64">
        <f t="shared" ref="C26:M26" si="9">SUM(C27:C34)</f>
        <v>69362017</v>
      </c>
      <c r="D26" s="64">
        <f t="shared" si="9"/>
        <v>-36768793.609999992</v>
      </c>
      <c r="E26" s="64">
        <v>32593223.389999997</v>
      </c>
      <c r="F26" s="64">
        <f t="shared" si="9"/>
        <v>32593404.889999997</v>
      </c>
      <c r="G26" s="64">
        <f t="shared" si="9"/>
        <v>-181.50000000046566</v>
      </c>
      <c r="H26" s="64">
        <f t="shared" si="9"/>
        <v>32593404.889999997</v>
      </c>
      <c r="I26" s="64">
        <f t="shared" si="9"/>
        <v>0</v>
      </c>
      <c r="J26" s="64">
        <f t="shared" si="9"/>
        <v>-181.50000000046566</v>
      </c>
      <c r="K26" s="64">
        <f t="shared" si="9"/>
        <v>32593404.889999997</v>
      </c>
      <c r="L26" s="64">
        <f t="shared" si="9"/>
        <v>25189292.049999997</v>
      </c>
      <c r="M26" s="64">
        <f t="shared" si="9"/>
        <v>7404112.8399999999</v>
      </c>
    </row>
    <row r="27" spans="1:13" s="32" customFormat="1" ht="21" customHeight="1" x14ac:dyDescent="0.25">
      <c r="A27" s="17">
        <v>14101</v>
      </c>
      <c r="B27" s="8" t="s">
        <v>35</v>
      </c>
      <c r="C27" s="44">
        <v>27504271</v>
      </c>
      <c r="D27" s="44">
        <f>-1113466.98+1493339-11969210.51</f>
        <v>-11589338.49</v>
      </c>
      <c r="E27" s="44">
        <v>15914932.51</v>
      </c>
      <c r="F27" s="44">
        <v>15914932.51</v>
      </c>
      <c r="G27" s="44">
        <f t="shared" si="1"/>
        <v>0</v>
      </c>
      <c r="H27" s="44">
        <f t="shared" si="5"/>
        <v>15914932.51</v>
      </c>
      <c r="I27" s="44">
        <f t="shared" si="6"/>
        <v>0</v>
      </c>
      <c r="J27" s="44">
        <f t="shared" si="2"/>
        <v>0</v>
      </c>
      <c r="K27" s="44">
        <f t="shared" si="7"/>
        <v>15914932.51</v>
      </c>
      <c r="L27" s="44">
        <f>K27</f>
        <v>15914932.51</v>
      </c>
      <c r="M27" s="44">
        <f t="shared" si="8"/>
        <v>0</v>
      </c>
    </row>
    <row r="28" spans="1:13" s="32" customFormat="1" ht="21" customHeight="1" x14ac:dyDescent="0.25">
      <c r="A28" s="17">
        <v>14104</v>
      </c>
      <c r="B28" s="8" t="s">
        <v>139</v>
      </c>
      <c r="C28" s="44">
        <v>6938221</v>
      </c>
      <c r="D28" s="44">
        <f>-6387887.9+3290879</f>
        <v>-3097008.9000000004</v>
      </c>
      <c r="E28" s="44">
        <v>3841212.0999999996</v>
      </c>
      <c r="F28" s="44">
        <v>3841393.6</v>
      </c>
      <c r="G28" s="44">
        <f t="shared" si="1"/>
        <v>-181.50000000046566</v>
      </c>
      <c r="H28" s="44">
        <f t="shared" si="5"/>
        <v>3841393.6</v>
      </c>
      <c r="I28" s="44">
        <f t="shared" si="6"/>
        <v>0</v>
      </c>
      <c r="J28" s="44">
        <f t="shared" si="2"/>
        <v>-181.50000000046566</v>
      </c>
      <c r="K28" s="44">
        <f t="shared" si="7"/>
        <v>3841393.6</v>
      </c>
      <c r="L28" s="44">
        <f>K28-M28</f>
        <v>181.5</v>
      </c>
      <c r="M28" s="44">
        <f>3841200+12.1</f>
        <v>3841212.1</v>
      </c>
    </row>
    <row r="29" spans="1:13" s="32" customFormat="1" ht="30" x14ac:dyDescent="0.25">
      <c r="A29" s="17">
        <v>14105</v>
      </c>
      <c r="B29" s="8" t="s">
        <v>36</v>
      </c>
      <c r="C29" s="44">
        <v>11504539</v>
      </c>
      <c r="D29" s="44">
        <f>-1615048.94-6393018.11</f>
        <v>-8008067.0500000007</v>
      </c>
      <c r="E29" s="44">
        <v>3496471.9499999993</v>
      </c>
      <c r="F29" s="44">
        <v>3496471.95</v>
      </c>
      <c r="G29" s="44">
        <f t="shared" si="1"/>
        <v>0</v>
      </c>
      <c r="H29" s="44">
        <f t="shared" si="5"/>
        <v>3496471.95</v>
      </c>
      <c r="I29" s="44">
        <f t="shared" si="6"/>
        <v>0</v>
      </c>
      <c r="J29" s="44">
        <f t="shared" si="2"/>
        <v>0</v>
      </c>
      <c r="K29" s="44">
        <f t="shared" si="7"/>
        <v>3496471.95</v>
      </c>
      <c r="L29" s="44">
        <f>K29</f>
        <v>3496471.95</v>
      </c>
      <c r="M29" s="44">
        <f t="shared" si="8"/>
        <v>0</v>
      </c>
    </row>
    <row r="30" spans="1:13" s="32" customFormat="1" ht="21" customHeight="1" x14ac:dyDescent="0.25">
      <c r="A30" s="17">
        <v>14201</v>
      </c>
      <c r="B30" s="8" t="s">
        <v>37</v>
      </c>
      <c r="C30" s="44">
        <v>13793516</v>
      </c>
      <c r="D30" s="44">
        <f>-564781.4+568027.5-8312451.91</f>
        <v>-8309205.8100000005</v>
      </c>
      <c r="E30" s="44">
        <v>5484310.1899999995</v>
      </c>
      <c r="F30" s="44">
        <v>5484310.1900000004</v>
      </c>
      <c r="G30" s="44">
        <f t="shared" si="1"/>
        <v>0</v>
      </c>
      <c r="H30" s="44">
        <f t="shared" si="5"/>
        <v>5484310.1900000004</v>
      </c>
      <c r="I30" s="44">
        <f t="shared" si="6"/>
        <v>0</v>
      </c>
      <c r="J30" s="44">
        <f t="shared" si="2"/>
        <v>0</v>
      </c>
      <c r="K30" s="44">
        <f t="shared" si="7"/>
        <v>5484310.1900000004</v>
      </c>
      <c r="L30" s="44">
        <f>K30-M30</f>
        <v>1921409.4500000002</v>
      </c>
      <c r="M30" s="44">
        <v>3562900.74</v>
      </c>
    </row>
    <row r="31" spans="1:13" s="32" customFormat="1" ht="21" customHeight="1" x14ac:dyDescent="0.25">
      <c r="A31" s="17">
        <v>14301</v>
      </c>
      <c r="B31" s="8" t="s">
        <v>38</v>
      </c>
      <c r="C31" s="44">
        <v>5517406</v>
      </c>
      <c r="D31" s="44">
        <f>712193.94+227208.5-3561197.38</f>
        <v>-2621794.94</v>
      </c>
      <c r="E31" s="44">
        <v>2895611.06</v>
      </c>
      <c r="F31" s="44">
        <v>2895611.06</v>
      </c>
      <c r="G31" s="44">
        <f t="shared" si="1"/>
        <v>0</v>
      </c>
      <c r="H31" s="44">
        <f t="shared" si="5"/>
        <v>2895611.06</v>
      </c>
      <c r="I31" s="44">
        <f t="shared" si="6"/>
        <v>0</v>
      </c>
      <c r="J31" s="44">
        <f t="shared" si="2"/>
        <v>0</v>
      </c>
      <c r="K31" s="44">
        <f t="shared" si="7"/>
        <v>2895611.06</v>
      </c>
      <c r="L31" s="44">
        <f>K31</f>
        <v>2895611.06</v>
      </c>
      <c r="M31" s="44">
        <f t="shared" si="8"/>
        <v>0</v>
      </c>
    </row>
    <row r="32" spans="1:13" s="32" customFormat="1" ht="21" customHeight="1" x14ac:dyDescent="0.25">
      <c r="A32" s="17">
        <v>14302</v>
      </c>
      <c r="B32" s="8" t="s">
        <v>39</v>
      </c>
      <c r="C32" s="44">
        <v>1950000</v>
      </c>
      <c r="D32" s="44">
        <f>-63670.42-1714329.01</f>
        <v>-1777999.43</v>
      </c>
      <c r="E32" s="44">
        <v>172000.57000000007</v>
      </c>
      <c r="F32" s="44">
        <v>172000.57</v>
      </c>
      <c r="G32" s="44">
        <f t="shared" si="1"/>
        <v>0</v>
      </c>
      <c r="H32" s="44">
        <f>F32</f>
        <v>172000.57</v>
      </c>
      <c r="I32" s="44">
        <f t="shared" si="6"/>
        <v>0</v>
      </c>
      <c r="J32" s="44">
        <f t="shared" si="2"/>
        <v>0</v>
      </c>
      <c r="K32" s="44">
        <f t="shared" si="7"/>
        <v>172000.57</v>
      </c>
      <c r="L32" s="44">
        <f t="shared" si="3"/>
        <v>172000.57</v>
      </c>
      <c r="M32" s="44">
        <f t="shared" si="8"/>
        <v>0</v>
      </c>
    </row>
    <row r="33" spans="1:13" s="32" customFormat="1" ht="21" customHeight="1" x14ac:dyDescent="0.25">
      <c r="A33" s="17">
        <v>14401</v>
      </c>
      <c r="B33" s="8" t="s">
        <v>133</v>
      </c>
      <c r="C33" s="44">
        <v>1759064</v>
      </c>
      <c r="D33" s="44">
        <f>-841330.93+184869-563075.19</f>
        <v>-1219537.1200000001</v>
      </c>
      <c r="E33" s="44">
        <v>539526.87999999989</v>
      </c>
      <c r="F33" s="44">
        <v>539526.88</v>
      </c>
      <c r="G33" s="44">
        <f t="shared" si="1"/>
        <v>0</v>
      </c>
      <c r="H33" s="44">
        <f t="shared" si="5"/>
        <v>539526.88</v>
      </c>
      <c r="I33" s="44">
        <f t="shared" si="6"/>
        <v>0</v>
      </c>
      <c r="J33" s="44">
        <f t="shared" si="2"/>
        <v>0</v>
      </c>
      <c r="K33" s="44">
        <f t="shared" si="7"/>
        <v>539526.88</v>
      </c>
      <c r="L33" s="44">
        <f t="shared" si="3"/>
        <v>539526.88</v>
      </c>
      <c r="M33" s="44">
        <f t="shared" si="8"/>
        <v>0</v>
      </c>
    </row>
    <row r="34" spans="1:13" s="32" customFormat="1" ht="21" customHeight="1" x14ac:dyDescent="0.25">
      <c r="A34" s="17">
        <v>14405</v>
      </c>
      <c r="B34" s="8" t="s">
        <v>167</v>
      </c>
      <c r="C34" s="44">
        <v>395000</v>
      </c>
      <c r="D34" s="44">
        <f>-138714.64-7127.23</f>
        <v>-145841.87000000002</v>
      </c>
      <c r="E34" s="44">
        <v>249158.12999999998</v>
      </c>
      <c r="F34" s="44">
        <v>249158.13</v>
      </c>
      <c r="G34" s="44">
        <f t="shared" si="1"/>
        <v>0</v>
      </c>
      <c r="H34" s="44">
        <f t="shared" si="5"/>
        <v>249158.13</v>
      </c>
      <c r="I34" s="44">
        <f t="shared" si="6"/>
        <v>0</v>
      </c>
      <c r="J34" s="44">
        <f t="shared" si="2"/>
        <v>0</v>
      </c>
      <c r="K34" s="44">
        <f t="shared" si="7"/>
        <v>249158.13</v>
      </c>
      <c r="L34" s="44">
        <f t="shared" si="3"/>
        <v>249158.13</v>
      </c>
      <c r="M34" s="44">
        <f t="shared" si="8"/>
        <v>0</v>
      </c>
    </row>
    <row r="35" spans="1:13" s="72" customFormat="1" ht="20.100000000000001" customHeight="1" x14ac:dyDescent="0.25">
      <c r="A35" s="65">
        <v>1500</v>
      </c>
      <c r="B35" s="71" t="s">
        <v>197</v>
      </c>
      <c r="C35" s="64">
        <f t="shared" ref="C35:M35" si="10">SUM(C36:C68)</f>
        <v>86362554</v>
      </c>
      <c r="D35" s="64">
        <f t="shared" si="10"/>
        <v>239230974.19999999</v>
      </c>
      <c r="E35" s="64">
        <v>325593528.19999999</v>
      </c>
      <c r="F35" s="64">
        <f t="shared" si="10"/>
        <v>426566963.71000004</v>
      </c>
      <c r="G35" s="64">
        <f t="shared" si="10"/>
        <v>-100973435.51000001</v>
      </c>
      <c r="H35" s="64">
        <f t="shared" si="10"/>
        <v>426566963.71000004</v>
      </c>
      <c r="I35" s="64">
        <f t="shared" si="10"/>
        <v>0</v>
      </c>
      <c r="J35" s="64">
        <f t="shared" si="10"/>
        <v>-100973435.51000001</v>
      </c>
      <c r="K35" s="64">
        <f t="shared" si="10"/>
        <v>426566963.71000004</v>
      </c>
      <c r="L35" s="64">
        <f t="shared" si="10"/>
        <v>222675327.40000001</v>
      </c>
      <c r="M35" s="64">
        <f t="shared" si="10"/>
        <v>203891636.31</v>
      </c>
    </row>
    <row r="36" spans="1:13" s="32" customFormat="1" ht="21" customHeight="1" x14ac:dyDescent="0.25">
      <c r="A36" s="17">
        <v>15202</v>
      </c>
      <c r="B36" s="8" t="s">
        <v>41</v>
      </c>
      <c r="C36" s="44">
        <v>0</v>
      </c>
      <c r="D36" s="44">
        <v>131325.9</v>
      </c>
      <c r="E36" s="44">
        <v>131325.9</v>
      </c>
      <c r="F36" s="44">
        <v>356317.28</v>
      </c>
      <c r="G36" s="44">
        <f t="shared" si="1"/>
        <v>-224991.38000000003</v>
      </c>
      <c r="H36" s="44">
        <f t="shared" si="5"/>
        <v>356317.28</v>
      </c>
      <c r="I36" s="44">
        <f t="shared" si="6"/>
        <v>0</v>
      </c>
      <c r="J36" s="44">
        <f t="shared" si="2"/>
        <v>-224991.38000000003</v>
      </c>
      <c r="K36" s="44">
        <f t="shared" si="7"/>
        <v>356317.28</v>
      </c>
      <c r="L36" s="44">
        <f>K36-M36</f>
        <v>67768.800000000047</v>
      </c>
      <c r="M36" s="44">
        <v>288548.47999999998</v>
      </c>
    </row>
    <row r="37" spans="1:13" s="32" customFormat="1" ht="21" customHeight="1" x14ac:dyDescent="0.25">
      <c r="A37" s="17">
        <v>15203</v>
      </c>
      <c r="B37" s="8" t="s">
        <v>176</v>
      </c>
      <c r="C37" s="44">
        <v>0</v>
      </c>
      <c r="D37" s="44">
        <v>63557.1</v>
      </c>
      <c r="E37" s="44">
        <v>63557.1</v>
      </c>
      <c r="F37" s="44">
        <v>63557.1</v>
      </c>
      <c r="G37" s="44">
        <f t="shared" si="1"/>
        <v>0</v>
      </c>
      <c r="H37" s="44">
        <f t="shared" si="5"/>
        <v>63557.1</v>
      </c>
      <c r="I37" s="44">
        <f t="shared" si="6"/>
        <v>0</v>
      </c>
      <c r="J37" s="44">
        <f t="shared" si="2"/>
        <v>0</v>
      </c>
      <c r="K37" s="44">
        <f t="shared" si="7"/>
        <v>63557.1</v>
      </c>
      <c r="L37" s="44">
        <f t="shared" si="3"/>
        <v>63557.1</v>
      </c>
      <c r="M37" s="44">
        <f t="shared" si="8"/>
        <v>0</v>
      </c>
    </row>
    <row r="38" spans="1:13" s="32" customFormat="1" ht="45" customHeight="1" x14ac:dyDescent="0.25">
      <c r="A38" s="17">
        <v>15401</v>
      </c>
      <c r="B38" s="8" t="s">
        <v>42</v>
      </c>
      <c r="C38" s="44">
        <v>0</v>
      </c>
      <c r="D38" s="44">
        <v>0</v>
      </c>
      <c r="E38" s="44">
        <v>0</v>
      </c>
      <c r="F38" s="44">
        <v>0</v>
      </c>
      <c r="G38" s="44">
        <f t="shared" si="1"/>
        <v>0</v>
      </c>
      <c r="H38" s="44">
        <f t="shared" si="5"/>
        <v>0</v>
      </c>
      <c r="I38" s="44">
        <f t="shared" si="6"/>
        <v>0</v>
      </c>
      <c r="J38" s="44">
        <f t="shared" si="2"/>
        <v>0</v>
      </c>
      <c r="K38" s="44">
        <f t="shared" si="7"/>
        <v>0</v>
      </c>
      <c r="L38" s="44">
        <f t="shared" si="3"/>
        <v>0</v>
      </c>
      <c r="M38" s="44">
        <f t="shared" si="8"/>
        <v>0</v>
      </c>
    </row>
    <row r="39" spans="1:13" s="32" customFormat="1" ht="21" customHeight="1" x14ac:dyDescent="0.25">
      <c r="A39" s="17">
        <v>15401</v>
      </c>
      <c r="B39" s="8" t="s">
        <v>43</v>
      </c>
      <c r="C39" s="44">
        <v>0</v>
      </c>
      <c r="D39" s="44">
        <v>0</v>
      </c>
      <c r="E39" s="44">
        <v>0</v>
      </c>
      <c r="F39" s="44">
        <v>6000000</v>
      </c>
      <c r="G39" s="44">
        <f t="shared" ref="G39" si="11">E39-F39</f>
        <v>-6000000</v>
      </c>
      <c r="H39" s="44">
        <f t="shared" ref="H39" si="12">F39</f>
        <v>6000000</v>
      </c>
      <c r="I39" s="44">
        <f t="shared" ref="I39" si="13">F39-H39</f>
        <v>0</v>
      </c>
      <c r="J39" s="44">
        <f t="shared" ref="J39" si="14">E39-H39</f>
        <v>-6000000</v>
      </c>
      <c r="K39" s="44">
        <f t="shared" ref="K39" si="15">F39</f>
        <v>6000000</v>
      </c>
      <c r="L39" s="44">
        <v>0</v>
      </c>
      <c r="M39" s="44">
        <v>6000000</v>
      </c>
    </row>
    <row r="40" spans="1:13" s="32" customFormat="1" ht="21" customHeight="1" x14ac:dyDescent="0.25">
      <c r="A40" s="17">
        <v>15402</v>
      </c>
      <c r="B40" s="8" t="s">
        <v>43</v>
      </c>
      <c r="C40" s="44">
        <v>0</v>
      </c>
      <c r="D40" s="44">
        <v>2098800</v>
      </c>
      <c r="E40" s="44">
        <v>2098800</v>
      </c>
      <c r="F40" s="44">
        <v>2098800</v>
      </c>
      <c r="G40" s="44">
        <f t="shared" si="1"/>
        <v>0</v>
      </c>
      <c r="H40" s="44">
        <f t="shared" si="5"/>
        <v>2098800</v>
      </c>
      <c r="I40" s="44">
        <f t="shared" si="6"/>
        <v>0</v>
      </c>
      <c r="J40" s="44">
        <f t="shared" si="2"/>
        <v>0</v>
      </c>
      <c r="K40" s="44">
        <f t="shared" si="7"/>
        <v>2098800</v>
      </c>
      <c r="L40" s="44">
        <f t="shared" si="3"/>
        <v>2098800</v>
      </c>
      <c r="M40" s="44">
        <f t="shared" si="8"/>
        <v>0</v>
      </c>
    </row>
    <row r="41" spans="1:13" s="32" customFormat="1" ht="21" customHeight="1" x14ac:dyDescent="0.25">
      <c r="A41" s="17">
        <v>15404</v>
      </c>
      <c r="B41" s="8" t="s">
        <v>144</v>
      </c>
      <c r="C41" s="44">
        <v>0</v>
      </c>
      <c r="D41" s="44">
        <v>0</v>
      </c>
      <c r="E41" s="44">
        <v>0</v>
      </c>
      <c r="F41" s="44">
        <v>4000000</v>
      </c>
      <c r="G41" s="44">
        <f t="shared" si="1"/>
        <v>-4000000</v>
      </c>
      <c r="H41" s="44">
        <f t="shared" si="5"/>
        <v>4000000</v>
      </c>
      <c r="I41" s="44">
        <f t="shared" si="6"/>
        <v>0</v>
      </c>
      <c r="J41" s="44">
        <f t="shared" si="2"/>
        <v>-4000000</v>
      </c>
      <c r="K41" s="44">
        <f t="shared" si="7"/>
        <v>4000000</v>
      </c>
      <c r="L41" s="44">
        <v>0</v>
      </c>
      <c r="M41" s="44">
        <v>4000000</v>
      </c>
    </row>
    <row r="42" spans="1:13" s="32" customFormat="1" ht="21" customHeight="1" x14ac:dyDescent="0.25">
      <c r="A42" s="17">
        <v>15405</v>
      </c>
      <c r="B42" s="8" t="s">
        <v>130</v>
      </c>
      <c r="C42" s="44">
        <v>0</v>
      </c>
      <c r="D42" s="44">
        <v>0</v>
      </c>
      <c r="E42" s="44">
        <v>0</v>
      </c>
      <c r="F42" s="44">
        <v>0</v>
      </c>
      <c r="G42" s="44">
        <f t="shared" si="1"/>
        <v>0</v>
      </c>
      <c r="H42" s="44">
        <f t="shared" si="5"/>
        <v>0</v>
      </c>
      <c r="I42" s="44">
        <f t="shared" si="6"/>
        <v>0</v>
      </c>
      <c r="J42" s="44">
        <f t="shared" si="2"/>
        <v>0</v>
      </c>
      <c r="K42" s="44">
        <f t="shared" si="7"/>
        <v>0</v>
      </c>
      <c r="L42" s="44">
        <f t="shared" si="3"/>
        <v>0</v>
      </c>
      <c r="M42" s="44">
        <f t="shared" si="8"/>
        <v>0</v>
      </c>
    </row>
    <row r="43" spans="1:13" s="32" customFormat="1" ht="21" customHeight="1" x14ac:dyDescent="0.25">
      <c r="A43" s="17">
        <v>15406</v>
      </c>
      <c r="B43" s="8" t="s">
        <v>140</v>
      </c>
      <c r="C43" s="44">
        <v>1272500</v>
      </c>
      <c r="D43" s="44">
        <v>7436500</v>
      </c>
      <c r="E43" s="44">
        <v>8709000</v>
      </c>
      <c r="F43" s="44">
        <v>8709000</v>
      </c>
      <c r="G43" s="44">
        <f t="shared" si="1"/>
        <v>0</v>
      </c>
      <c r="H43" s="44">
        <f t="shared" si="5"/>
        <v>8709000</v>
      </c>
      <c r="I43" s="44">
        <f t="shared" si="6"/>
        <v>0</v>
      </c>
      <c r="J43" s="44">
        <f t="shared" si="2"/>
        <v>0</v>
      </c>
      <c r="K43" s="44">
        <f t="shared" si="7"/>
        <v>8709000</v>
      </c>
      <c r="L43" s="44">
        <v>0</v>
      </c>
      <c r="M43" s="44">
        <v>8709000</v>
      </c>
    </row>
    <row r="44" spans="1:13" s="32" customFormat="1" ht="21" customHeight="1" x14ac:dyDescent="0.25">
      <c r="A44" s="17">
        <v>15407</v>
      </c>
      <c r="B44" s="8" t="s">
        <v>235</v>
      </c>
      <c r="C44" s="44">
        <v>4111447</v>
      </c>
      <c r="D44" s="44">
        <f>-1141665.63+127119-357928.48</f>
        <v>-1372475.1099999999</v>
      </c>
      <c r="E44" s="44">
        <v>2738971.89</v>
      </c>
      <c r="F44" s="44">
        <v>2738971.89</v>
      </c>
      <c r="G44" s="44">
        <f t="shared" si="1"/>
        <v>0</v>
      </c>
      <c r="H44" s="44">
        <f t="shared" si="5"/>
        <v>2738971.89</v>
      </c>
      <c r="I44" s="44">
        <f t="shared" si="6"/>
        <v>0</v>
      </c>
      <c r="J44" s="44">
        <f t="shared" si="2"/>
        <v>0</v>
      </c>
      <c r="K44" s="44">
        <f t="shared" si="7"/>
        <v>2738971.89</v>
      </c>
      <c r="L44" s="44">
        <f t="shared" si="3"/>
        <v>2738971.89</v>
      </c>
      <c r="M44" s="44">
        <f t="shared" si="8"/>
        <v>0</v>
      </c>
    </row>
    <row r="45" spans="1:13" s="32" customFormat="1" ht="21" customHeight="1" x14ac:dyDescent="0.25">
      <c r="A45" s="17">
        <v>15410</v>
      </c>
      <c r="B45" s="8" t="s">
        <v>109</v>
      </c>
      <c r="C45" s="44">
        <v>0</v>
      </c>
      <c r="D45" s="44">
        <v>2080650</v>
      </c>
      <c r="E45" s="44">
        <v>2080650</v>
      </c>
      <c r="F45" s="44">
        <v>2080650</v>
      </c>
      <c r="G45" s="44">
        <f t="shared" si="1"/>
        <v>0</v>
      </c>
      <c r="H45" s="44">
        <f t="shared" si="5"/>
        <v>2080650</v>
      </c>
      <c r="I45" s="44">
        <f t="shared" si="6"/>
        <v>0</v>
      </c>
      <c r="J45" s="44">
        <f t="shared" si="2"/>
        <v>0</v>
      </c>
      <c r="K45" s="44">
        <f t="shared" si="7"/>
        <v>2080650</v>
      </c>
      <c r="L45" s="44">
        <f t="shared" si="3"/>
        <v>2080650</v>
      </c>
      <c r="M45" s="44">
        <f t="shared" si="8"/>
        <v>0</v>
      </c>
    </row>
    <row r="46" spans="1:13" s="32" customFormat="1" ht="21" customHeight="1" x14ac:dyDescent="0.25">
      <c r="A46" s="17">
        <v>15412</v>
      </c>
      <c r="B46" s="8" t="s">
        <v>110</v>
      </c>
      <c r="C46" s="44">
        <v>19154524</v>
      </c>
      <c r="D46" s="44">
        <f>819637-9921906.67</f>
        <v>-9102269.6699999999</v>
      </c>
      <c r="E46" s="44">
        <v>10052254.33</v>
      </c>
      <c r="F46" s="44">
        <v>10052254.33</v>
      </c>
      <c r="G46" s="44">
        <f t="shared" si="1"/>
        <v>0</v>
      </c>
      <c r="H46" s="44">
        <f t="shared" si="5"/>
        <v>10052254.33</v>
      </c>
      <c r="I46" s="44">
        <f t="shared" si="6"/>
        <v>0</v>
      </c>
      <c r="J46" s="44">
        <f t="shared" si="2"/>
        <v>0</v>
      </c>
      <c r="K46" s="44">
        <f t="shared" si="7"/>
        <v>10052254.33</v>
      </c>
      <c r="L46" s="44">
        <f>K46-M46</f>
        <v>6029620.0300000003</v>
      </c>
      <c r="M46" s="44">
        <v>4022634.3</v>
      </c>
    </row>
    <row r="47" spans="1:13" s="32" customFormat="1" ht="21" customHeight="1" x14ac:dyDescent="0.25">
      <c r="A47" s="17">
        <v>15413</v>
      </c>
      <c r="B47" s="8" t="s">
        <v>111</v>
      </c>
      <c r="C47" s="44">
        <v>5065975</v>
      </c>
      <c r="D47" s="44">
        <f>-2517423.45+286154</f>
        <v>-2231269.4500000002</v>
      </c>
      <c r="E47" s="44">
        <v>2834705.55</v>
      </c>
      <c r="F47" s="44">
        <v>10162195.460000001</v>
      </c>
      <c r="G47" s="44">
        <f t="shared" si="1"/>
        <v>-7327489.9100000011</v>
      </c>
      <c r="H47" s="44">
        <f t="shared" si="5"/>
        <v>10162195.460000001</v>
      </c>
      <c r="I47" s="44">
        <f t="shared" si="6"/>
        <v>0</v>
      </c>
      <c r="J47" s="44">
        <f t="shared" si="2"/>
        <v>-7327489.9100000011</v>
      </c>
      <c r="K47" s="44">
        <f t="shared" si="7"/>
        <v>10162195.460000001</v>
      </c>
      <c r="L47" s="44">
        <v>0</v>
      </c>
      <c r="M47" s="44">
        <v>10162195.460000001</v>
      </c>
    </row>
    <row r="48" spans="1:13" s="32" customFormat="1" ht="21" customHeight="1" x14ac:dyDescent="0.25">
      <c r="A48" s="17">
        <v>15414</v>
      </c>
      <c r="B48" s="8" t="s">
        <v>112</v>
      </c>
      <c r="C48" s="44">
        <v>23575738</v>
      </c>
      <c r="D48" s="44">
        <f>-2036918.51+3920431.74-2609909.47</f>
        <v>-726396.24</v>
      </c>
      <c r="E48" s="44">
        <v>22849341.760000002</v>
      </c>
      <c r="F48" s="44">
        <v>22849341.760000002</v>
      </c>
      <c r="G48" s="44">
        <f t="shared" si="1"/>
        <v>0</v>
      </c>
      <c r="H48" s="44">
        <f t="shared" si="5"/>
        <v>22849341.760000002</v>
      </c>
      <c r="I48" s="44">
        <f t="shared" si="6"/>
        <v>0</v>
      </c>
      <c r="J48" s="44">
        <f t="shared" si="2"/>
        <v>0</v>
      </c>
      <c r="K48" s="44">
        <f t="shared" si="7"/>
        <v>22849341.760000002</v>
      </c>
      <c r="L48" s="44">
        <f>K48-M48</f>
        <v>22847705.260000002</v>
      </c>
      <c r="M48" s="44">
        <v>1636.5</v>
      </c>
    </row>
    <row r="49" spans="1:13" s="32" customFormat="1" ht="21" customHeight="1" x14ac:dyDescent="0.25">
      <c r="A49" s="17">
        <v>15416</v>
      </c>
      <c r="B49" s="8" t="s">
        <v>40</v>
      </c>
      <c r="C49" s="44">
        <v>0</v>
      </c>
      <c r="D49" s="44">
        <f>20136000+9954000</f>
        <v>30090000</v>
      </c>
      <c r="E49" s="44">
        <v>30090000</v>
      </c>
      <c r="F49" s="44">
        <v>59902000</v>
      </c>
      <c r="G49" s="44">
        <f t="shared" si="1"/>
        <v>-29812000</v>
      </c>
      <c r="H49" s="44">
        <f t="shared" si="5"/>
        <v>59902000</v>
      </c>
      <c r="I49" s="44">
        <f t="shared" si="6"/>
        <v>0</v>
      </c>
      <c r="J49" s="44">
        <f t="shared" si="2"/>
        <v>-29812000</v>
      </c>
      <c r="K49" s="44">
        <f t="shared" si="7"/>
        <v>59902000</v>
      </c>
      <c r="L49" s="44">
        <f>K49-M49</f>
        <v>34980000</v>
      </c>
      <c r="M49" s="44">
        <v>24922000</v>
      </c>
    </row>
    <row r="50" spans="1:13" s="32" customFormat="1" ht="21" customHeight="1" x14ac:dyDescent="0.25">
      <c r="A50" s="17">
        <v>15417</v>
      </c>
      <c r="B50" s="8" t="s">
        <v>113</v>
      </c>
      <c r="C50" s="44">
        <v>0</v>
      </c>
      <c r="D50" s="44">
        <f>536847.95+346391.53+14951490+512678.46</f>
        <v>16347407.940000001</v>
      </c>
      <c r="E50" s="44">
        <v>16347407.940000001</v>
      </c>
      <c r="F50" s="44">
        <v>16347407.939999999</v>
      </c>
      <c r="G50" s="44">
        <f t="shared" si="1"/>
        <v>0</v>
      </c>
      <c r="H50" s="44">
        <f t="shared" si="5"/>
        <v>16347407.939999999</v>
      </c>
      <c r="I50" s="44">
        <f t="shared" si="6"/>
        <v>0</v>
      </c>
      <c r="J50" s="44">
        <f t="shared" si="2"/>
        <v>0</v>
      </c>
      <c r="K50" s="44">
        <f t="shared" si="7"/>
        <v>16347407.939999999</v>
      </c>
      <c r="L50" s="44">
        <f>K50-M50</f>
        <v>15272314.33</v>
      </c>
      <c r="M50" s="44">
        <v>1075093.6100000001</v>
      </c>
    </row>
    <row r="51" spans="1:13" s="32" customFormat="1" ht="21" customHeight="1" x14ac:dyDescent="0.25">
      <c r="A51" s="17">
        <v>15418</v>
      </c>
      <c r="B51" s="8" t="s">
        <v>114</v>
      </c>
      <c r="C51" s="44">
        <v>0</v>
      </c>
      <c r="D51" s="44">
        <f>-1517596.6+16638255+678204.52</f>
        <v>15798862.92</v>
      </c>
      <c r="E51" s="44">
        <v>15798862.92</v>
      </c>
      <c r="F51" s="44">
        <v>15798862.92</v>
      </c>
      <c r="G51" s="44">
        <f t="shared" si="1"/>
        <v>0</v>
      </c>
      <c r="H51" s="44">
        <f t="shared" si="5"/>
        <v>15798862.92</v>
      </c>
      <c r="I51" s="44">
        <f t="shared" si="6"/>
        <v>0</v>
      </c>
      <c r="J51" s="44">
        <f t="shared" si="2"/>
        <v>0</v>
      </c>
      <c r="K51" s="44">
        <f t="shared" si="7"/>
        <v>15798862.92</v>
      </c>
      <c r="L51" s="44">
        <f>K51-M51</f>
        <v>15120571.57</v>
      </c>
      <c r="M51" s="44">
        <v>678291.35</v>
      </c>
    </row>
    <row r="52" spans="1:13" s="32" customFormat="1" ht="21" customHeight="1" x14ac:dyDescent="0.25">
      <c r="A52" s="17">
        <v>15419</v>
      </c>
      <c r="B52" s="8" t="s">
        <v>115</v>
      </c>
      <c r="C52" s="44">
        <v>0</v>
      </c>
      <c r="D52" s="44">
        <f>396052.61+37795.54+37518980+1821434.31</f>
        <v>39774262.460000001</v>
      </c>
      <c r="E52" s="44">
        <v>39774262.460000001</v>
      </c>
      <c r="F52" s="44">
        <v>39774262.460000001</v>
      </c>
      <c r="G52" s="44">
        <f t="shared" si="1"/>
        <v>0</v>
      </c>
      <c r="H52" s="44">
        <f t="shared" si="5"/>
        <v>39774262.460000001</v>
      </c>
      <c r="I52" s="44">
        <f t="shared" si="6"/>
        <v>0</v>
      </c>
      <c r="J52" s="44">
        <f t="shared" si="2"/>
        <v>0</v>
      </c>
      <c r="K52" s="44">
        <f t="shared" si="7"/>
        <v>39774262.460000001</v>
      </c>
      <c r="L52" s="44">
        <f>K52-M52</f>
        <v>37952828.149999999</v>
      </c>
      <c r="M52" s="44">
        <v>1821434.31</v>
      </c>
    </row>
    <row r="53" spans="1:13" s="32" customFormat="1" ht="21" customHeight="1" x14ac:dyDescent="0.25">
      <c r="A53" s="17">
        <v>15420</v>
      </c>
      <c r="B53" s="8" t="s">
        <v>116</v>
      </c>
      <c r="C53" s="44">
        <v>0</v>
      </c>
      <c r="D53" s="44">
        <f>2864500+2937600</f>
        <v>5802100</v>
      </c>
      <c r="E53" s="44">
        <v>5802100</v>
      </c>
      <c r="F53" s="44">
        <v>5802100</v>
      </c>
      <c r="G53" s="44">
        <f t="shared" si="1"/>
        <v>0</v>
      </c>
      <c r="H53" s="44">
        <f t="shared" si="5"/>
        <v>5802100</v>
      </c>
      <c r="I53" s="44">
        <f t="shared" si="6"/>
        <v>0</v>
      </c>
      <c r="J53" s="44">
        <f t="shared" si="2"/>
        <v>0</v>
      </c>
      <c r="K53" s="44">
        <f t="shared" si="7"/>
        <v>5802100</v>
      </c>
      <c r="L53" s="44">
        <f t="shared" si="3"/>
        <v>5802100</v>
      </c>
      <c r="M53" s="44">
        <f t="shared" si="8"/>
        <v>0</v>
      </c>
    </row>
    <row r="54" spans="1:13" s="32" customFormat="1" ht="21" customHeight="1" x14ac:dyDescent="0.25">
      <c r="A54" s="17">
        <v>15421</v>
      </c>
      <c r="B54" s="8" t="s">
        <v>117</v>
      </c>
      <c r="C54" s="44">
        <v>0</v>
      </c>
      <c r="D54" s="44">
        <v>0</v>
      </c>
      <c r="E54" s="44">
        <v>0</v>
      </c>
      <c r="F54" s="44">
        <v>0</v>
      </c>
      <c r="G54" s="44">
        <f t="shared" si="1"/>
        <v>0</v>
      </c>
      <c r="H54" s="44">
        <f t="shared" si="5"/>
        <v>0</v>
      </c>
      <c r="I54" s="44">
        <f t="shared" si="6"/>
        <v>0</v>
      </c>
      <c r="J54" s="44">
        <f t="shared" si="2"/>
        <v>0</v>
      </c>
      <c r="K54" s="44">
        <f t="shared" si="7"/>
        <v>0</v>
      </c>
      <c r="L54" s="44">
        <f t="shared" si="3"/>
        <v>0</v>
      </c>
      <c r="M54" s="44">
        <f t="shared" si="8"/>
        <v>0</v>
      </c>
    </row>
    <row r="55" spans="1:13" s="32" customFormat="1" ht="21" customHeight="1" x14ac:dyDescent="0.25">
      <c r="A55" s="17">
        <v>15422</v>
      </c>
      <c r="B55" s="8" t="s">
        <v>118</v>
      </c>
      <c r="C55" s="44">
        <v>1328609</v>
      </c>
      <c r="D55" s="44">
        <f>170846.5-331167+276031.5</f>
        <v>115711</v>
      </c>
      <c r="E55" s="44">
        <v>1444320</v>
      </c>
      <c r="F55" s="44">
        <v>1444320</v>
      </c>
      <c r="G55" s="44">
        <f t="shared" si="1"/>
        <v>0</v>
      </c>
      <c r="H55" s="44">
        <f t="shared" si="5"/>
        <v>1444320</v>
      </c>
      <c r="I55" s="44">
        <f t="shared" si="6"/>
        <v>0</v>
      </c>
      <c r="J55" s="44">
        <f t="shared" si="2"/>
        <v>0</v>
      </c>
      <c r="K55" s="44">
        <f t="shared" si="7"/>
        <v>1444320</v>
      </c>
      <c r="L55" s="44">
        <f t="shared" si="3"/>
        <v>1444320</v>
      </c>
      <c r="M55" s="44">
        <f t="shared" si="8"/>
        <v>0</v>
      </c>
    </row>
    <row r="56" spans="1:13" s="32" customFormat="1" ht="21" customHeight="1" x14ac:dyDescent="0.25">
      <c r="A56" s="17">
        <v>15423</v>
      </c>
      <c r="B56" s="8" t="s">
        <v>119</v>
      </c>
      <c r="C56" s="44">
        <v>59445</v>
      </c>
      <c r="D56" s="44">
        <f>-28646.7-11845.5+2904.5</f>
        <v>-37587.699999999997</v>
      </c>
      <c r="E56" s="44">
        <v>21857.300000000003</v>
      </c>
      <c r="F56" s="44">
        <v>21857.3</v>
      </c>
      <c r="G56" s="44">
        <f t="shared" si="1"/>
        <v>0</v>
      </c>
      <c r="H56" s="44">
        <f t="shared" si="5"/>
        <v>21857.3</v>
      </c>
      <c r="I56" s="44">
        <f t="shared" si="6"/>
        <v>0</v>
      </c>
      <c r="J56" s="44">
        <f t="shared" si="2"/>
        <v>0</v>
      </c>
      <c r="K56" s="44">
        <f t="shared" si="7"/>
        <v>21857.3</v>
      </c>
      <c r="L56" s="44">
        <f t="shared" si="3"/>
        <v>21857.3</v>
      </c>
      <c r="M56" s="44">
        <f t="shared" si="8"/>
        <v>0</v>
      </c>
    </row>
    <row r="57" spans="1:13" s="32" customFormat="1" ht="21" customHeight="1" x14ac:dyDescent="0.25">
      <c r="A57" s="17">
        <v>15424</v>
      </c>
      <c r="B57" s="8" t="s">
        <v>120</v>
      </c>
      <c r="C57" s="44">
        <v>7919293</v>
      </c>
      <c r="D57" s="44">
        <f>-1708110.61+294345+11556247.77</f>
        <v>10142482.16</v>
      </c>
      <c r="E57" s="44">
        <v>18061775.16</v>
      </c>
      <c r="F57" s="44">
        <v>28988633.199999999</v>
      </c>
      <c r="G57" s="44">
        <f t="shared" si="1"/>
        <v>-10926858.039999999</v>
      </c>
      <c r="H57" s="44">
        <f t="shared" si="5"/>
        <v>28988633.199999999</v>
      </c>
      <c r="I57" s="44">
        <f t="shared" si="6"/>
        <v>0</v>
      </c>
      <c r="J57" s="44">
        <f t="shared" si="2"/>
        <v>-10926858.039999999</v>
      </c>
      <c r="K57" s="44">
        <f t="shared" si="7"/>
        <v>28988633.199999999</v>
      </c>
      <c r="L57" s="44">
        <f>K57-M57</f>
        <v>306310.44999999925</v>
      </c>
      <c r="M57" s="44">
        <v>28682322.75</v>
      </c>
    </row>
    <row r="58" spans="1:13" s="32" customFormat="1" ht="21" customHeight="1" x14ac:dyDescent="0.25">
      <c r="A58" s="17">
        <v>15425</v>
      </c>
      <c r="B58" s="8" t="s">
        <v>121</v>
      </c>
      <c r="C58" s="44">
        <v>0</v>
      </c>
      <c r="D58" s="44">
        <f>63978513.93+58580000</f>
        <v>122558513.93000001</v>
      </c>
      <c r="E58" s="44">
        <v>122558513.93000001</v>
      </c>
      <c r="F58" s="44">
        <v>134207341.28</v>
      </c>
      <c r="G58" s="44">
        <f t="shared" si="1"/>
        <v>-11648827.349999994</v>
      </c>
      <c r="H58" s="44">
        <f t="shared" si="5"/>
        <v>134207341.28</v>
      </c>
      <c r="I58" s="44">
        <f t="shared" si="6"/>
        <v>0</v>
      </c>
      <c r="J58" s="44">
        <f t="shared" si="2"/>
        <v>-11648827.349999994</v>
      </c>
      <c r="K58" s="44">
        <f t="shared" si="7"/>
        <v>134207341.28</v>
      </c>
      <c r="L58" s="44">
        <f>K58-M58</f>
        <v>63978513.930000007</v>
      </c>
      <c r="M58" s="44">
        <v>70228827.349999994</v>
      </c>
    </row>
    <row r="59" spans="1:13" s="32" customFormat="1" ht="21" customHeight="1" x14ac:dyDescent="0.25">
      <c r="A59" s="17">
        <v>15426</v>
      </c>
      <c r="B59" s="8" t="s">
        <v>122</v>
      </c>
      <c r="C59" s="44">
        <v>7920099</v>
      </c>
      <c r="D59" s="44">
        <f>-1149310.41+196227-204619.42</f>
        <v>-1157702.8299999998</v>
      </c>
      <c r="E59" s="44">
        <v>6762396.1699999999</v>
      </c>
      <c r="F59" s="44">
        <v>6762396.1699999999</v>
      </c>
      <c r="G59" s="44">
        <f t="shared" si="1"/>
        <v>0</v>
      </c>
      <c r="H59" s="44">
        <f t="shared" si="5"/>
        <v>6762396.1699999999</v>
      </c>
      <c r="I59" s="44">
        <f t="shared" si="6"/>
        <v>0</v>
      </c>
      <c r="J59" s="44">
        <f t="shared" si="2"/>
        <v>0</v>
      </c>
      <c r="K59" s="44">
        <f t="shared" si="7"/>
        <v>6762396.1699999999</v>
      </c>
      <c r="L59" s="44">
        <f>K59-M59</f>
        <v>6408793.5599999996</v>
      </c>
      <c r="M59" s="44">
        <v>353602.61</v>
      </c>
    </row>
    <row r="60" spans="1:13" s="32" customFormat="1" ht="21" customHeight="1" x14ac:dyDescent="0.25">
      <c r="A60" s="17">
        <v>15427</v>
      </c>
      <c r="B60" s="8" t="s">
        <v>126</v>
      </c>
      <c r="C60" s="44">
        <v>0</v>
      </c>
      <c r="D60" s="44">
        <v>0</v>
      </c>
      <c r="E60" s="44">
        <v>0</v>
      </c>
      <c r="F60" s="44">
        <v>0</v>
      </c>
      <c r="G60" s="44">
        <f t="shared" si="1"/>
        <v>0</v>
      </c>
      <c r="H60" s="44">
        <f t="shared" si="5"/>
        <v>0</v>
      </c>
      <c r="I60" s="44">
        <f t="shared" si="6"/>
        <v>0</v>
      </c>
      <c r="J60" s="44">
        <f t="shared" si="2"/>
        <v>0</v>
      </c>
      <c r="K60" s="44">
        <f t="shared" si="7"/>
        <v>0</v>
      </c>
      <c r="L60" s="44">
        <f t="shared" si="3"/>
        <v>0</v>
      </c>
      <c r="M60" s="44">
        <f t="shared" si="8"/>
        <v>0</v>
      </c>
    </row>
    <row r="61" spans="1:13" s="32" customFormat="1" ht="21" customHeight="1" x14ac:dyDescent="0.25">
      <c r="A61" s="17">
        <v>15428</v>
      </c>
      <c r="B61" s="8" t="s">
        <v>127</v>
      </c>
      <c r="C61" s="44">
        <v>0</v>
      </c>
      <c r="D61" s="44">
        <v>0</v>
      </c>
      <c r="E61" s="44">
        <v>0</v>
      </c>
      <c r="F61" s="44">
        <v>2486957.98</v>
      </c>
      <c r="G61" s="44">
        <f t="shared" si="1"/>
        <v>-2486957.98</v>
      </c>
      <c r="H61" s="44">
        <f t="shared" si="5"/>
        <v>2486957.98</v>
      </c>
      <c r="I61" s="44">
        <f t="shared" si="6"/>
        <v>0</v>
      </c>
      <c r="J61" s="44">
        <f t="shared" si="2"/>
        <v>-2486957.98</v>
      </c>
      <c r="K61" s="44">
        <f t="shared" si="7"/>
        <v>2486957.98</v>
      </c>
      <c r="L61" s="44">
        <v>0</v>
      </c>
      <c r="M61" s="44">
        <v>2486957.98</v>
      </c>
    </row>
    <row r="62" spans="1:13" s="32" customFormat="1" ht="21" customHeight="1" x14ac:dyDescent="0.25">
      <c r="A62" s="17">
        <v>15430</v>
      </c>
      <c r="B62" s="8" t="s">
        <v>123</v>
      </c>
      <c r="C62" s="44">
        <v>1865343</v>
      </c>
      <c r="D62" s="44">
        <f>-14343-1000+1000</f>
        <v>-14343</v>
      </c>
      <c r="E62" s="44">
        <v>1851000</v>
      </c>
      <c r="F62" s="44">
        <v>1851000</v>
      </c>
      <c r="G62" s="44">
        <f t="shared" si="1"/>
        <v>0</v>
      </c>
      <c r="H62" s="44">
        <f t="shared" si="5"/>
        <v>1851000</v>
      </c>
      <c r="I62" s="44">
        <f t="shared" si="6"/>
        <v>0</v>
      </c>
      <c r="J62" s="44">
        <f t="shared" si="2"/>
        <v>0</v>
      </c>
      <c r="K62" s="44">
        <f t="shared" si="7"/>
        <v>1851000</v>
      </c>
      <c r="L62" s="44">
        <f t="shared" si="3"/>
        <v>1851000</v>
      </c>
      <c r="M62" s="44">
        <f t="shared" si="8"/>
        <v>0</v>
      </c>
    </row>
    <row r="63" spans="1:13" s="32" customFormat="1" ht="21" customHeight="1" x14ac:dyDescent="0.25">
      <c r="A63" s="17">
        <v>15431</v>
      </c>
      <c r="B63" s="8" t="s">
        <v>134</v>
      </c>
      <c r="C63" s="44">
        <v>0</v>
      </c>
      <c r="D63" s="44">
        <v>2098800</v>
      </c>
      <c r="E63" s="44">
        <v>2098800</v>
      </c>
      <c r="F63" s="44">
        <v>2098800</v>
      </c>
      <c r="G63" s="44">
        <f t="shared" si="1"/>
        <v>0</v>
      </c>
      <c r="H63" s="44">
        <f t="shared" si="5"/>
        <v>2098800</v>
      </c>
      <c r="I63" s="44">
        <f t="shared" si="6"/>
        <v>0</v>
      </c>
      <c r="J63" s="44">
        <f t="shared" si="2"/>
        <v>0</v>
      </c>
      <c r="K63" s="44">
        <f t="shared" si="7"/>
        <v>2098800</v>
      </c>
      <c r="L63" s="44">
        <f t="shared" si="3"/>
        <v>2098800</v>
      </c>
      <c r="M63" s="44">
        <f t="shared" si="8"/>
        <v>0</v>
      </c>
    </row>
    <row r="64" spans="1:13" s="32" customFormat="1" ht="21" customHeight="1" x14ac:dyDescent="0.25">
      <c r="A64" s="17">
        <v>15432</v>
      </c>
      <c r="B64" s="8" t="s">
        <v>124</v>
      </c>
      <c r="C64" s="44">
        <v>0</v>
      </c>
      <c r="D64" s="44">
        <f>693651.58+693651.58-694678.28</f>
        <v>692624.87999999989</v>
      </c>
      <c r="E64" s="44">
        <v>692624.87999999989</v>
      </c>
      <c r="F64" s="44">
        <v>692624.88</v>
      </c>
      <c r="G64" s="44">
        <f t="shared" si="1"/>
        <v>0</v>
      </c>
      <c r="H64" s="44">
        <f t="shared" si="5"/>
        <v>692624.88</v>
      </c>
      <c r="I64" s="44">
        <f t="shared" si="6"/>
        <v>0</v>
      </c>
      <c r="J64" s="44">
        <f t="shared" si="2"/>
        <v>0</v>
      </c>
      <c r="K64" s="44">
        <f t="shared" si="7"/>
        <v>692624.88</v>
      </c>
      <c r="L64" s="44">
        <f t="shared" si="3"/>
        <v>692624.88</v>
      </c>
      <c r="M64" s="44">
        <f t="shared" si="8"/>
        <v>0</v>
      </c>
    </row>
    <row r="65" spans="1:13" s="32" customFormat="1" ht="21" customHeight="1" x14ac:dyDescent="0.25">
      <c r="A65" s="17">
        <v>15433</v>
      </c>
      <c r="B65" s="8" t="s">
        <v>145</v>
      </c>
      <c r="C65" s="44">
        <v>296917</v>
      </c>
      <c r="D65" s="44">
        <v>5509083</v>
      </c>
      <c r="E65" s="44">
        <v>5806000</v>
      </c>
      <c r="F65" s="44">
        <v>5806000</v>
      </c>
      <c r="G65" s="44">
        <f t="shared" si="1"/>
        <v>0</v>
      </c>
      <c r="H65" s="44">
        <f t="shared" si="5"/>
        <v>5806000</v>
      </c>
      <c r="I65" s="44">
        <f t="shared" si="6"/>
        <v>0</v>
      </c>
      <c r="J65" s="44">
        <f t="shared" si="2"/>
        <v>0</v>
      </c>
      <c r="K65" s="44">
        <f t="shared" si="7"/>
        <v>5806000</v>
      </c>
      <c r="L65" s="44">
        <v>0</v>
      </c>
      <c r="M65" s="44">
        <v>5806000</v>
      </c>
    </row>
    <row r="66" spans="1:13" s="32" customFormat="1" ht="21" customHeight="1" x14ac:dyDescent="0.25">
      <c r="A66" s="17">
        <v>15434</v>
      </c>
      <c r="B66" s="8" t="s">
        <v>128</v>
      </c>
      <c r="C66" s="44">
        <v>12471279</v>
      </c>
      <c r="D66" s="44">
        <v>-7685318.2400000002</v>
      </c>
      <c r="E66" s="44">
        <v>4785960.76</v>
      </c>
      <c r="F66" s="44">
        <v>29064289.850000001</v>
      </c>
      <c r="G66" s="44">
        <f t="shared" si="1"/>
        <v>-24278329.090000004</v>
      </c>
      <c r="H66" s="44">
        <f t="shared" si="5"/>
        <v>29064289.850000001</v>
      </c>
      <c r="I66" s="44">
        <f t="shared" si="6"/>
        <v>0</v>
      </c>
      <c r="J66" s="44">
        <f t="shared" si="2"/>
        <v>-24278329.090000004</v>
      </c>
      <c r="K66" s="44">
        <f t="shared" si="7"/>
        <v>29064289.850000001</v>
      </c>
      <c r="L66" s="44">
        <v>0</v>
      </c>
      <c r="M66" s="44">
        <v>29064289.850000001</v>
      </c>
    </row>
    <row r="67" spans="1:13" s="32" customFormat="1" ht="21" customHeight="1" x14ac:dyDescent="0.25">
      <c r="A67" s="17">
        <v>15901</v>
      </c>
      <c r="B67" s="8" t="s">
        <v>131</v>
      </c>
      <c r="C67" s="44">
        <v>565</v>
      </c>
      <c r="D67" s="44">
        <f>565+818220.15+1635310.3-1636440.3</f>
        <v>817655.15000000014</v>
      </c>
      <c r="E67" s="44">
        <v>818220.15000000014</v>
      </c>
      <c r="F67" s="44">
        <v>818220.15</v>
      </c>
      <c r="G67" s="44">
        <f t="shared" si="1"/>
        <v>0</v>
      </c>
      <c r="H67" s="44">
        <f t="shared" si="5"/>
        <v>818220.15</v>
      </c>
      <c r="I67" s="44">
        <f t="shared" si="6"/>
        <v>0</v>
      </c>
      <c r="J67" s="44">
        <f t="shared" si="2"/>
        <v>0</v>
      </c>
      <c r="K67" s="44">
        <f t="shared" si="7"/>
        <v>818220.15</v>
      </c>
      <c r="L67" s="44">
        <f t="shared" si="3"/>
        <v>818220.15</v>
      </c>
      <c r="M67" s="44">
        <f t="shared" si="8"/>
        <v>0</v>
      </c>
    </row>
    <row r="68" spans="1:13" s="32" customFormat="1" ht="21" customHeight="1" x14ac:dyDescent="0.25">
      <c r="A68" s="17">
        <v>15906</v>
      </c>
      <c r="B68" s="8" t="s">
        <v>135</v>
      </c>
      <c r="C68" s="44">
        <v>1320820</v>
      </c>
      <c r="D68" s="44">
        <v>0</v>
      </c>
      <c r="E68" s="44">
        <v>1320820</v>
      </c>
      <c r="F68" s="44">
        <v>5588801.7599999998</v>
      </c>
      <c r="G68" s="44">
        <f t="shared" si="1"/>
        <v>-4267981.76</v>
      </c>
      <c r="H68" s="44">
        <f t="shared" si="5"/>
        <v>5588801.7599999998</v>
      </c>
      <c r="I68" s="44">
        <f t="shared" si="6"/>
        <v>0</v>
      </c>
      <c r="J68" s="44">
        <f t="shared" si="2"/>
        <v>-4267981.76</v>
      </c>
      <c r="K68" s="44">
        <f t="shared" si="7"/>
        <v>5588801.7599999998</v>
      </c>
      <c r="L68" s="44">
        <v>0</v>
      </c>
      <c r="M68" s="44">
        <v>5588801.7599999998</v>
      </c>
    </row>
    <row r="69" spans="1:13" s="72" customFormat="1" ht="23.25" customHeight="1" x14ac:dyDescent="0.25">
      <c r="A69" s="65">
        <v>1700</v>
      </c>
      <c r="B69" s="71" t="s">
        <v>198</v>
      </c>
      <c r="C69" s="64">
        <f t="shared" ref="C69:M69" si="16">SUM(C70:C74)</f>
        <v>9882495</v>
      </c>
      <c r="D69" s="64">
        <f t="shared" si="16"/>
        <v>11327127.41</v>
      </c>
      <c r="E69" s="64">
        <v>21209622.409999996</v>
      </c>
      <c r="F69" s="64">
        <f t="shared" si="16"/>
        <v>21209622.409999996</v>
      </c>
      <c r="G69" s="64">
        <f t="shared" si="16"/>
        <v>0</v>
      </c>
      <c r="H69" s="64">
        <f t="shared" si="16"/>
        <v>21209622.409999996</v>
      </c>
      <c r="I69" s="64">
        <f t="shared" si="16"/>
        <v>0</v>
      </c>
      <c r="J69" s="64">
        <f t="shared" si="16"/>
        <v>0</v>
      </c>
      <c r="K69" s="64">
        <f t="shared" si="16"/>
        <v>21209622.409999996</v>
      </c>
      <c r="L69" s="64">
        <f t="shared" si="16"/>
        <v>20690717.409999996</v>
      </c>
      <c r="M69" s="64">
        <f t="shared" si="16"/>
        <v>518905</v>
      </c>
    </row>
    <row r="70" spans="1:13" s="32" customFormat="1" ht="21" customHeight="1" x14ac:dyDescent="0.25">
      <c r="A70" s="17">
        <v>17101</v>
      </c>
      <c r="B70" s="8" t="s">
        <v>44</v>
      </c>
      <c r="C70" s="44">
        <v>9882495</v>
      </c>
      <c r="D70" s="44">
        <f>5468271.04-3338595.55+467894.5+2797315.77</f>
        <v>5394885.7599999998</v>
      </c>
      <c r="E70" s="44">
        <v>15277380.76</v>
      </c>
      <c r="F70" s="44">
        <v>15277380.76</v>
      </c>
      <c r="G70" s="44">
        <f t="shared" si="1"/>
        <v>0</v>
      </c>
      <c r="H70" s="44">
        <f t="shared" si="5"/>
        <v>15277380.76</v>
      </c>
      <c r="I70" s="44">
        <f t="shared" si="6"/>
        <v>0</v>
      </c>
      <c r="J70" s="44">
        <f t="shared" si="2"/>
        <v>0</v>
      </c>
      <c r="K70" s="44">
        <f t="shared" si="7"/>
        <v>15277380.76</v>
      </c>
      <c r="L70" s="44">
        <f t="shared" si="3"/>
        <v>15277380.76</v>
      </c>
      <c r="M70" s="44">
        <f t="shared" si="8"/>
        <v>0</v>
      </c>
    </row>
    <row r="71" spans="1:13" s="32" customFormat="1" ht="21" customHeight="1" x14ac:dyDescent="0.25">
      <c r="A71" s="17">
        <v>17102</v>
      </c>
      <c r="B71" s="8" t="s">
        <v>45</v>
      </c>
      <c r="C71" s="44">
        <v>0</v>
      </c>
      <c r="D71" s="44">
        <f>4435200+154150</f>
        <v>4589350</v>
      </c>
      <c r="E71" s="44">
        <v>4589350</v>
      </c>
      <c r="F71" s="44">
        <v>4589350</v>
      </c>
      <c r="G71" s="44">
        <f t="shared" si="1"/>
        <v>0</v>
      </c>
      <c r="H71" s="44">
        <f t="shared" si="5"/>
        <v>4589350</v>
      </c>
      <c r="I71" s="44">
        <f t="shared" si="6"/>
        <v>0</v>
      </c>
      <c r="J71" s="44">
        <f t="shared" si="2"/>
        <v>0</v>
      </c>
      <c r="K71" s="44">
        <f t="shared" si="7"/>
        <v>4589350</v>
      </c>
      <c r="L71" s="44">
        <f t="shared" si="3"/>
        <v>4589350</v>
      </c>
      <c r="M71" s="44">
        <f t="shared" si="8"/>
        <v>0</v>
      </c>
    </row>
    <row r="72" spans="1:13" s="32" customFormat="1" ht="21" customHeight="1" x14ac:dyDescent="0.25">
      <c r="A72" s="17">
        <v>17104</v>
      </c>
      <c r="B72" s="8" t="s">
        <v>246</v>
      </c>
      <c r="C72" s="44">
        <v>0</v>
      </c>
      <c r="D72" s="44">
        <v>518905</v>
      </c>
      <c r="E72" s="44">
        <v>518905</v>
      </c>
      <c r="F72" s="44">
        <v>518905</v>
      </c>
      <c r="G72" s="44">
        <f t="shared" ref="G72" si="17">E72-F72</f>
        <v>0</v>
      </c>
      <c r="H72" s="44">
        <f t="shared" ref="H72" si="18">F72</f>
        <v>518905</v>
      </c>
      <c r="I72" s="44">
        <f t="shared" ref="I72" si="19">F72-H72</f>
        <v>0</v>
      </c>
      <c r="J72" s="44">
        <f t="shared" ref="J72" si="20">E72-H72</f>
        <v>0</v>
      </c>
      <c r="K72" s="44">
        <f t="shared" ref="K72" si="21">F72</f>
        <v>518905</v>
      </c>
      <c r="L72" s="44"/>
      <c r="M72" s="44">
        <v>518905</v>
      </c>
    </row>
    <row r="73" spans="1:13" s="32" customFormat="1" ht="21" customHeight="1" x14ac:dyDescent="0.25">
      <c r="A73" s="17">
        <v>17105</v>
      </c>
      <c r="B73" s="8" t="s">
        <v>136</v>
      </c>
      <c r="C73" s="44">
        <v>0</v>
      </c>
      <c r="D73" s="44">
        <v>0</v>
      </c>
      <c r="E73" s="44">
        <v>0</v>
      </c>
      <c r="F73" s="44">
        <v>0</v>
      </c>
      <c r="G73" s="44">
        <f t="shared" si="1"/>
        <v>0</v>
      </c>
      <c r="H73" s="44">
        <f t="shared" si="5"/>
        <v>0</v>
      </c>
      <c r="I73" s="44">
        <f t="shared" si="6"/>
        <v>0</v>
      </c>
      <c r="J73" s="44">
        <f t="shared" si="2"/>
        <v>0</v>
      </c>
      <c r="K73" s="44">
        <f t="shared" si="7"/>
        <v>0</v>
      </c>
      <c r="L73" s="44">
        <f t="shared" si="3"/>
        <v>0</v>
      </c>
      <c r="M73" s="44">
        <v>0</v>
      </c>
    </row>
    <row r="74" spans="1:13" s="32" customFormat="1" ht="21" customHeight="1" x14ac:dyDescent="0.25">
      <c r="A74" s="17">
        <v>17106</v>
      </c>
      <c r="B74" s="8" t="s">
        <v>174</v>
      </c>
      <c r="C74" s="44">
        <v>0</v>
      </c>
      <c r="D74" s="44">
        <f>708193.3+115793.35</f>
        <v>823986.65</v>
      </c>
      <c r="E74" s="44">
        <v>823986.65</v>
      </c>
      <c r="F74" s="44">
        <v>823986.65</v>
      </c>
      <c r="G74" s="44">
        <f t="shared" si="1"/>
        <v>0</v>
      </c>
      <c r="H74" s="44">
        <f t="shared" si="5"/>
        <v>823986.65</v>
      </c>
      <c r="I74" s="44">
        <f t="shared" si="6"/>
        <v>0</v>
      </c>
      <c r="J74" s="44">
        <f t="shared" si="2"/>
        <v>0</v>
      </c>
      <c r="K74" s="44">
        <f t="shared" si="7"/>
        <v>823986.65</v>
      </c>
      <c r="L74" s="44">
        <f t="shared" si="3"/>
        <v>823986.65</v>
      </c>
      <c r="M74" s="44">
        <f t="shared" si="8"/>
        <v>0</v>
      </c>
    </row>
    <row r="75" spans="1:13" s="32" customFormat="1" ht="15.75" thickBot="1" x14ac:dyDescent="0.3">
      <c r="A75" s="74"/>
      <c r="B75" s="75"/>
      <c r="C75" s="46"/>
      <c r="D75" s="46"/>
      <c r="E75" s="46"/>
      <c r="F75" s="46"/>
      <c r="G75" s="46"/>
      <c r="H75" s="46">
        <f t="shared" si="5"/>
        <v>0</v>
      </c>
      <c r="I75" s="46">
        <f t="shared" si="6"/>
        <v>0</v>
      </c>
      <c r="J75" s="46"/>
      <c r="K75" s="46">
        <f t="shared" si="7"/>
        <v>0</v>
      </c>
      <c r="L75" s="46">
        <f t="shared" si="3"/>
        <v>0</v>
      </c>
      <c r="M75" s="46">
        <f t="shared" si="8"/>
        <v>0</v>
      </c>
    </row>
    <row r="76" spans="1:13" s="32" customFormat="1" ht="24.75" customHeight="1" thickBot="1" x14ac:dyDescent="0.3">
      <c r="A76" s="16"/>
      <c r="B76" s="16" t="s">
        <v>98</v>
      </c>
      <c r="C76" s="30">
        <f t="shared" ref="C76:L76" si="22">C10+C12+C14+C26+C35+C69</f>
        <v>594276150</v>
      </c>
      <c r="D76" s="30">
        <f t="shared" si="22"/>
        <v>289535805.65000004</v>
      </c>
      <c r="E76" s="30">
        <v>883811955.64999998</v>
      </c>
      <c r="F76" s="30">
        <f t="shared" si="22"/>
        <v>1014409874.0699999</v>
      </c>
      <c r="G76" s="30">
        <f t="shared" si="22"/>
        <v>-130597918.42</v>
      </c>
      <c r="H76" s="30">
        <f t="shared" si="22"/>
        <v>1014409874.0699999</v>
      </c>
      <c r="I76" s="30">
        <f t="shared" si="22"/>
        <v>0</v>
      </c>
      <c r="J76" s="30">
        <f t="shared" si="22"/>
        <v>-130597918.42</v>
      </c>
      <c r="K76" s="30">
        <f t="shared" si="22"/>
        <v>1014409874.0699999</v>
      </c>
      <c r="L76" s="30">
        <f t="shared" si="22"/>
        <v>739626236.00999999</v>
      </c>
      <c r="M76" s="30">
        <f>M10+M14+M26+M35+M69</f>
        <v>274783638.06</v>
      </c>
    </row>
    <row r="77" spans="1:13" s="32" customFormat="1" ht="18" customHeight="1" x14ac:dyDescent="0.25">
      <c r="A77" s="76"/>
      <c r="B77" s="76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48"/>
    </row>
    <row r="78" spans="1:13" s="32" customFormat="1" ht="20.100000000000001" customHeight="1" x14ac:dyDescent="0.25">
      <c r="A78" s="65">
        <v>2000</v>
      </c>
      <c r="B78" s="70" t="s">
        <v>18</v>
      </c>
      <c r="C78" s="44" t="s">
        <v>1</v>
      </c>
      <c r="D78" s="44"/>
      <c r="E78" s="44"/>
      <c r="F78" s="44"/>
      <c r="G78" s="44"/>
      <c r="H78" s="44"/>
      <c r="I78" s="44"/>
      <c r="J78" s="44"/>
      <c r="K78" s="44"/>
      <c r="L78" s="44">
        <f t="shared" ref="L78:L168" si="23">K78</f>
        <v>0</v>
      </c>
      <c r="M78" s="44">
        <f>H78-L78</f>
        <v>0</v>
      </c>
    </row>
    <row r="79" spans="1:13" s="72" customFormat="1" ht="28.5" customHeight="1" x14ac:dyDescent="0.25">
      <c r="A79" s="65">
        <v>2100</v>
      </c>
      <c r="B79" s="71" t="s">
        <v>202</v>
      </c>
      <c r="C79" s="64">
        <f>SUM(C80:C85)</f>
        <v>1760000</v>
      </c>
      <c r="D79" s="64">
        <f t="shared" ref="D79:M79" si="24">SUM(D80:D85)</f>
        <v>-1252050.1699999997</v>
      </c>
      <c r="E79" s="64">
        <v>507949.83000000007</v>
      </c>
      <c r="F79" s="64">
        <f t="shared" si="24"/>
        <v>507949.8299999999</v>
      </c>
      <c r="G79" s="64">
        <f t="shared" si="24"/>
        <v>0</v>
      </c>
      <c r="H79" s="64">
        <f t="shared" si="24"/>
        <v>507949.8299999999</v>
      </c>
      <c r="I79" s="64">
        <f t="shared" si="24"/>
        <v>0</v>
      </c>
      <c r="J79" s="64">
        <f t="shared" si="24"/>
        <v>0</v>
      </c>
      <c r="K79" s="64">
        <f t="shared" si="24"/>
        <v>507949.8299999999</v>
      </c>
      <c r="L79" s="64">
        <f t="shared" si="24"/>
        <v>507949.8299999999</v>
      </c>
      <c r="M79" s="64">
        <f t="shared" si="24"/>
        <v>0</v>
      </c>
    </row>
    <row r="80" spans="1:13" s="32" customFormat="1" ht="24" customHeight="1" x14ac:dyDescent="0.25">
      <c r="A80" s="17">
        <v>21101</v>
      </c>
      <c r="B80" s="8" t="s">
        <v>46</v>
      </c>
      <c r="C80" s="44">
        <v>750000</v>
      </c>
      <c r="D80" s="44">
        <f>-300000-192370.37+51940.41</f>
        <v>-440429.95999999996</v>
      </c>
      <c r="E80" s="44">
        <v>309570.04000000004</v>
      </c>
      <c r="F80" s="44">
        <v>309570.03999999998</v>
      </c>
      <c r="G80" s="44">
        <f>E80-F80</f>
        <v>0</v>
      </c>
      <c r="H80" s="44">
        <f>F80</f>
        <v>309570.03999999998</v>
      </c>
      <c r="I80" s="44">
        <f>F80-H80</f>
        <v>0</v>
      </c>
      <c r="J80" s="44">
        <f>E80-H80</f>
        <v>0</v>
      </c>
      <c r="K80" s="44">
        <f>F80</f>
        <v>309570.03999999998</v>
      </c>
      <c r="L80" s="44">
        <f t="shared" si="23"/>
        <v>309570.03999999998</v>
      </c>
      <c r="M80" s="44">
        <f>H80-L80</f>
        <v>0</v>
      </c>
    </row>
    <row r="81" spans="1:13" s="32" customFormat="1" ht="29.25" customHeight="1" x14ac:dyDescent="0.25">
      <c r="A81" s="17">
        <v>21201</v>
      </c>
      <c r="B81" s="8" t="s">
        <v>146</v>
      </c>
      <c r="C81" s="44">
        <v>100000</v>
      </c>
      <c r="D81" s="44">
        <f>-37885.4-49967.44</f>
        <v>-87852.84</v>
      </c>
      <c r="E81" s="44">
        <v>12147.160000000003</v>
      </c>
      <c r="F81" s="44">
        <v>12147.16</v>
      </c>
      <c r="G81" s="44">
        <f t="shared" ref="G81:G118" si="25">E81-F81</f>
        <v>0</v>
      </c>
      <c r="H81" s="44">
        <f>F81</f>
        <v>12147.16</v>
      </c>
      <c r="I81" s="44">
        <f>F81-H81</f>
        <v>0</v>
      </c>
      <c r="J81" s="44">
        <f t="shared" ref="J81:J118" si="26">E81-H81</f>
        <v>0</v>
      </c>
      <c r="K81" s="44">
        <f>F81</f>
        <v>12147.16</v>
      </c>
      <c r="L81" s="44">
        <f t="shared" si="23"/>
        <v>12147.16</v>
      </c>
      <c r="M81" s="44">
        <f>H81-L81</f>
        <v>0</v>
      </c>
    </row>
    <row r="82" spans="1:13" s="32" customFormat="1" ht="30" x14ac:dyDescent="0.25">
      <c r="A82" s="17">
        <v>21401</v>
      </c>
      <c r="B82" s="8" t="s">
        <v>47</v>
      </c>
      <c r="C82" s="44">
        <v>500000</v>
      </c>
      <c r="D82" s="44">
        <f>-200000-239516.85+100182.08</f>
        <v>-339334.76999999996</v>
      </c>
      <c r="E82" s="44">
        <v>160665.23000000004</v>
      </c>
      <c r="F82" s="44">
        <v>160665.23000000001</v>
      </c>
      <c r="G82" s="44">
        <f t="shared" si="25"/>
        <v>0</v>
      </c>
      <c r="H82" s="44">
        <f t="shared" ref="H82:H118" si="27">F82</f>
        <v>160665.23000000001</v>
      </c>
      <c r="I82" s="44">
        <f t="shared" ref="I82:I118" si="28">F82-H82</f>
        <v>0</v>
      </c>
      <c r="J82" s="44">
        <f t="shared" si="26"/>
        <v>0</v>
      </c>
      <c r="K82" s="44">
        <f t="shared" ref="K82:K118" si="29">F82</f>
        <v>160665.23000000001</v>
      </c>
      <c r="L82" s="44">
        <f t="shared" si="23"/>
        <v>160665.23000000001</v>
      </c>
      <c r="M82" s="44">
        <f t="shared" ref="M82:M118" si="30">H82-L82</f>
        <v>0</v>
      </c>
    </row>
    <row r="83" spans="1:13" s="32" customFormat="1" ht="21" customHeight="1" x14ac:dyDescent="0.25">
      <c r="A83" s="17">
        <v>21501</v>
      </c>
      <c r="B83" s="8" t="s">
        <v>48</v>
      </c>
      <c r="C83" s="44">
        <v>10000</v>
      </c>
      <c r="D83" s="44">
        <v>-6140</v>
      </c>
      <c r="E83" s="44">
        <v>3860</v>
      </c>
      <c r="F83" s="44">
        <v>3860</v>
      </c>
      <c r="G83" s="44">
        <f t="shared" si="25"/>
        <v>0</v>
      </c>
      <c r="H83" s="44">
        <f t="shared" si="27"/>
        <v>3860</v>
      </c>
      <c r="I83" s="44">
        <f t="shared" si="28"/>
        <v>0</v>
      </c>
      <c r="J83" s="44">
        <f t="shared" si="26"/>
        <v>0</v>
      </c>
      <c r="K83" s="44">
        <f t="shared" si="29"/>
        <v>3860</v>
      </c>
      <c r="L83" s="44">
        <f t="shared" si="23"/>
        <v>3860</v>
      </c>
      <c r="M83" s="44">
        <f t="shared" si="30"/>
        <v>0</v>
      </c>
    </row>
    <row r="84" spans="1:13" s="32" customFormat="1" ht="21" customHeight="1" x14ac:dyDescent="0.25">
      <c r="A84" s="17">
        <v>21601</v>
      </c>
      <c r="B84" s="8" t="s">
        <v>49</v>
      </c>
      <c r="C84" s="44">
        <v>350000</v>
      </c>
      <c r="D84" s="44">
        <f>-200000-131536.2</f>
        <v>-331536.2</v>
      </c>
      <c r="E84" s="44">
        <v>18463.799999999988</v>
      </c>
      <c r="F84" s="44">
        <v>18463.8</v>
      </c>
      <c r="G84" s="44">
        <f t="shared" si="25"/>
        <v>0</v>
      </c>
      <c r="H84" s="44">
        <f t="shared" si="27"/>
        <v>18463.8</v>
      </c>
      <c r="I84" s="44">
        <f t="shared" si="28"/>
        <v>0</v>
      </c>
      <c r="J84" s="44">
        <f t="shared" si="26"/>
        <v>0</v>
      </c>
      <c r="K84" s="44">
        <f t="shared" si="29"/>
        <v>18463.8</v>
      </c>
      <c r="L84" s="44">
        <f t="shared" si="23"/>
        <v>18463.8</v>
      </c>
      <c r="M84" s="44">
        <f t="shared" si="30"/>
        <v>0</v>
      </c>
    </row>
    <row r="85" spans="1:13" s="32" customFormat="1" ht="29.25" customHeight="1" x14ac:dyDescent="0.25">
      <c r="A85" s="17">
        <v>21701</v>
      </c>
      <c r="B85" s="8" t="s">
        <v>50</v>
      </c>
      <c r="C85" s="44">
        <v>50000</v>
      </c>
      <c r="D85" s="44">
        <f>-70000+23243.6</f>
        <v>-46756.4</v>
      </c>
      <c r="E85" s="44">
        <v>3243.5999999999985</v>
      </c>
      <c r="F85" s="44">
        <v>3243.6</v>
      </c>
      <c r="G85" s="44">
        <f t="shared" si="25"/>
        <v>0</v>
      </c>
      <c r="H85" s="44">
        <f t="shared" si="27"/>
        <v>3243.6</v>
      </c>
      <c r="I85" s="44">
        <f t="shared" si="28"/>
        <v>0</v>
      </c>
      <c r="J85" s="44">
        <f t="shared" si="26"/>
        <v>0</v>
      </c>
      <c r="K85" s="44">
        <f t="shared" si="29"/>
        <v>3243.6</v>
      </c>
      <c r="L85" s="44">
        <f t="shared" si="23"/>
        <v>3243.6</v>
      </c>
      <c r="M85" s="44">
        <f t="shared" si="30"/>
        <v>0</v>
      </c>
    </row>
    <row r="86" spans="1:13" s="72" customFormat="1" ht="20.100000000000001" customHeight="1" x14ac:dyDescent="0.25">
      <c r="A86" s="65">
        <v>2200</v>
      </c>
      <c r="B86" s="71" t="s">
        <v>199</v>
      </c>
      <c r="C86" s="64">
        <f>SUM(C87:C88)</f>
        <v>275000</v>
      </c>
      <c r="D86" s="64">
        <f t="shared" ref="D86:M86" si="31">SUM(D87:D88)</f>
        <v>-212906.33</v>
      </c>
      <c r="E86" s="64">
        <v>62093.670000000013</v>
      </c>
      <c r="F86" s="64">
        <f t="shared" si="31"/>
        <v>62093.67</v>
      </c>
      <c r="G86" s="64">
        <f t="shared" si="31"/>
        <v>0</v>
      </c>
      <c r="H86" s="64">
        <f t="shared" si="31"/>
        <v>62093.67</v>
      </c>
      <c r="I86" s="64">
        <f t="shared" si="31"/>
        <v>0</v>
      </c>
      <c r="J86" s="64">
        <f t="shared" si="31"/>
        <v>0</v>
      </c>
      <c r="K86" s="64">
        <f t="shared" si="31"/>
        <v>62093.67</v>
      </c>
      <c r="L86" s="64">
        <f t="shared" si="31"/>
        <v>62093.67</v>
      </c>
      <c r="M86" s="64">
        <f t="shared" si="31"/>
        <v>0</v>
      </c>
    </row>
    <row r="87" spans="1:13" s="32" customFormat="1" ht="30" x14ac:dyDescent="0.25">
      <c r="A87" s="17">
        <v>22104</v>
      </c>
      <c r="B87" s="8" t="s">
        <v>51</v>
      </c>
      <c r="C87" s="44">
        <v>250000</v>
      </c>
      <c r="D87" s="44">
        <f>-150000-38456.17</f>
        <v>-188456.16999999998</v>
      </c>
      <c r="E87" s="44">
        <v>61543.830000000016</v>
      </c>
      <c r="F87" s="44">
        <v>61543.83</v>
      </c>
      <c r="G87" s="44">
        <f t="shared" si="25"/>
        <v>0</v>
      </c>
      <c r="H87" s="44">
        <f t="shared" si="27"/>
        <v>61543.83</v>
      </c>
      <c r="I87" s="44">
        <f t="shared" si="28"/>
        <v>0</v>
      </c>
      <c r="J87" s="44">
        <f t="shared" si="26"/>
        <v>0</v>
      </c>
      <c r="K87" s="44">
        <f t="shared" si="29"/>
        <v>61543.83</v>
      </c>
      <c r="L87" s="44">
        <f t="shared" si="23"/>
        <v>61543.83</v>
      </c>
      <c r="M87" s="44">
        <f t="shared" si="30"/>
        <v>0</v>
      </c>
    </row>
    <row r="88" spans="1:13" s="32" customFormat="1" ht="21" customHeight="1" x14ac:dyDescent="0.25">
      <c r="A88" s="17">
        <v>22301</v>
      </c>
      <c r="B88" s="8" t="s">
        <v>147</v>
      </c>
      <c r="C88" s="44">
        <v>25000</v>
      </c>
      <c r="D88" s="44">
        <v>-24450.16</v>
      </c>
      <c r="E88" s="44">
        <v>549.84000000000015</v>
      </c>
      <c r="F88" s="44">
        <v>549.84</v>
      </c>
      <c r="G88" s="44">
        <f t="shared" si="25"/>
        <v>0</v>
      </c>
      <c r="H88" s="44">
        <f t="shared" si="27"/>
        <v>549.84</v>
      </c>
      <c r="I88" s="44">
        <f t="shared" si="28"/>
        <v>0</v>
      </c>
      <c r="J88" s="44">
        <f t="shared" si="26"/>
        <v>0</v>
      </c>
      <c r="K88" s="44">
        <f t="shared" si="29"/>
        <v>549.84</v>
      </c>
      <c r="L88" s="44">
        <f t="shared" si="23"/>
        <v>549.84</v>
      </c>
      <c r="M88" s="44">
        <f t="shared" si="30"/>
        <v>0</v>
      </c>
    </row>
    <row r="89" spans="1:13" s="72" customFormat="1" ht="36.75" customHeight="1" x14ac:dyDescent="0.25">
      <c r="A89" s="65">
        <v>2400</v>
      </c>
      <c r="B89" s="71" t="s">
        <v>200</v>
      </c>
      <c r="C89" s="64">
        <f>SUM(C90:C98)</f>
        <v>1035000</v>
      </c>
      <c r="D89" s="64">
        <f t="shared" ref="D89:M89" si="32">SUM(D90:D98)</f>
        <v>844025.97000000009</v>
      </c>
      <c r="E89" s="64">
        <v>1879025.97</v>
      </c>
      <c r="F89" s="64">
        <f t="shared" si="32"/>
        <v>1643168.52</v>
      </c>
      <c r="G89" s="64">
        <f t="shared" si="32"/>
        <v>235857.44999999995</v>
      </c>
      <c r="H89" s="64">
        <f t="shared" si="32"/>
        <v>1643168.52</v>
      </c>
      <c r="I89" s="64">
        <f t="shared" si="32"/>
        <v>0</v>
      </c>
      <c r="J89" s="64">
        <f t="shared" si="32"/>
        <v>235857.44999999995</v>
      </c>
      <c r="K89" s="64">
        <f t="shared" si="32"/>
        <v>1643168.52</v>
      </c>
      <c r="L89" s="64">
        <f t="shared" si="32"/>
        <v>1407311.07</v>
      </c>
      <c r="M89" s="64">
        <f t="shared" si="32"/>
        <v>235857.45</v>
      </c>
    </row>
    <row r="90" spans="1:13" s="32" customFormat="1" ht="21" customHeight="1" x14ac:dyDescent="0.25">
      <c r="A90" s="17">
        <v>24101</v>
      </c>
      <c r="B90" s="8" t="s">
        <v>137</v>
      </c>
      <c r="C90" s="44">
        <v>25000</v>
      </c>
      <c r="D90" s="44">
        <f>-25000+8000</f>
        <v>-17000</v>
      </c>
      <c r="E90" s="44">
        <v>8000</v>
      </c>
      <c r="F90" s="44">
        <v>8000</v>
      </c>
      <c r="G90" s="44">
        <f t="shared" si="25"/>
        <v>0</v>
      </c>
      <c r="H90" s="44">
        <f t="shared" si="27"/>
        <v>8000</v>
      </c>
      <c r="I90" s="44">
        <f t="shared" si="28"/>
        <v>0</v>
      </c>
      <c r="J90" s="44">
        <f t="shared" si="26"/>
        <v>0</v>
      </c>
      <c r="K90" s="44">
        <f t="shared" si="29"/>
        <v>8000</v>
      </c>
      <c r="L90" s="44">
        <f t="shared" si="23"/>
        <v>8000</v>
      </c>
      <c r="M90" s="44">
        <f t="shared" si="30"/>
        <v>0</v>
      </c>
    </row>
    <row r="91" spans="1:13" s="32" customFormat="1" ht="21" customHeight="1" x14ac:dyDescent="0.25">
      <c r="A91" s="17">
        <v>24201</v>
      </c>
      <c r="B91" s="8" t="s">
        <v>162</v>
      </c>
      <c r="C91" s="44">
        <v>50000</v>
      </c>
      <c r="D91" s="44">
        <v>-47790.49</v>
      </c>
      <c r="E91" s="44">
        <v>2209.510000000002</v>
      </c>
      <c r="F91" s="44">
        <v>2209.5100000000002</v>
      </c>
      <c r="G91" s="44">
        <f t="shared" si="25"/>
        <v>0</v>
      </c>
      <c r="H91" s="44">
        <f t="shared" si="27"/>
        <v>2209.5100000000002</v>
      </c>
      <c r="I91" s="44">
        <f t="shared" si="28"/>
        <v>0</v>
      </c>
      <c r="J91" s="44">
        <f t="shared" si="26"/>
        <v>0</v>
      </c>
      <c r="K91" s="44">
        <f t="shared" si="29"/>
        <v>2209.5100000000002</v>
      </c>
      <c r="L91" s="44">
        <f t="shared" si="23"/>
        <v>2209.5100000000002</v>
      </c>
      <c r="M91" s="44">
        <f t="shared" si="30"/>
        <v>0</v>
      </c>
    </row>
    <row r="92" spans="1:13" s="32" customFormat="1" ht="21" customHeight="1" x14ac:dyDescent="0.25">
      <c r="A92" s="17">
        <v>24301</v>
      </c>
      <c r="B92" s="8" t="s">
        <v>148</v>
      </c>
      <c r="C92" s="44">
        <v>5000</v>
      </c>
      <c r="D92" s="44">
        <v>-5000</v>
      </c>
      <c r="E92" s="44">
        <v>0</v>
      </c>
      <c r="F92" s="44">
        <v>0</v>
      </c>
      <c r="G92" s="44">
        <f t="shared" si="25"/>
        <v>0</v>
      </c>
      <c r="H92" s="44">
        <f t="shared" si="27"/>
        <v>0</v>
      </c>
      <c r="I92" s="44">
        <f t="shared" si="28"/>
        <v>0</v>
      </c>
      <c r="J92" s="44">
        <f t="shared" si="26"/>
        <v>0</v>
      </c>
      <c r="K92" s="44">
        <f t="shared" si="29"/>
        <v>0</v>
      </c>
      <c r="L92" s="44">
        <f t="shared" si="23"/>
        <v>0</v>
      </c>
      <c r="M92" s="44">
        <f t="shared" si="30"/>
        <v>0</v>
      </c>
    </row>
    <row r="93" spans="1:13" s="32" customFormat="1" ht="21" customHeight="1" x14ac:dyDescent="0.25">
      <c r="A93" s="17">
        <v>24401</v>
      </c>
      <c r="B93" s="8" t="s">
        <v>138</v>
      </c>
      <c r="C93" s="44">
        <v>5000</v>
      </c>
      <c r="D93" s="44">
        <v>-5000</v>
      </c>
      <c r="E93" s="44">
        <v>0</v>
      </c>
      <c r="F93" s="44">
        <v>0</v>
      </c>
      <c r="G93" s="44">
        <f t="shared" si="25"/>
        <v>0</v>
      </c>
      <c r="H93" s="44">
        <f t="shared" si="27"/>
        <v>0</v>
      </c>
      <c r="I93" s="44">
        <f t="shared" si="28"/>
        <v>0</v>
      </c>
      <c r="J93" s="44">
        <f t="shared" si="26"/>
        <v>0</v>
      </c>
      <c r="K93" s="44">
        <f t="shared" si="29"/>
        <v>0</v>
      </c>
      <c r="L93" s="44">
        <f t="shared" si="23"/>
        <v>0</v>
      </c>
      <c r="M93" s="44">
        <f t="shared" si="30"/>
        <v>0</v>
      </c>
    </row>
    <row r="94" spans="1:13" s="32" customFormat="1" ht="21" customHeight="1" x14ac:dyDescent="0.25">
      <c r="A94" s="17">
        <v>24501</v>
      </c>
      <c r="B94" s="8" t="s">
        <v>223</v>
      </c>
      <c r="C94" s="44">
        <v>0</v>
      </c>
      <c r="D94" s="44">
        <v>504.96</v>
      </c>
      <c r="E94" s="44">
        <v>504.96</v>
      </c>
      <c r="F94" s="44">
        <v>504.96</v>
      </c>
      <c r="G94" s="44">
        <f t="shared" si="25"/>
        <v>0</v>
      </c>
      <c r="H94" s="44">
        <f t="shared" si="27"/>
        <v>504.96</v>
      </c>
      <c r="I94" s="44">
        <f t="shared" si="28"/>
        <v>0</v>
      </c>
      <c r="J94" s="44">
        <f t="shared" si="26"/>
        <v>0</v>
      </c>
      <c r="K94" s="44">
        <f t="shared" si="29"/>
        <v>504.96</v>
      </c>
      <c r="L94" s="44">
        <f t="shared" si="23"/>
        <v>504.96</v>
      </c>
      <c r="M94" s="44">
        <f t="shared" si="30"/>
        <v>0</v>
      </c>
    </row>
    <row r="95" spans="1:13" s="32" customFormat="1" ht="21" customHeight="1" x14ac:dyDescent="0.25">
      <c r="A95" s="17">
        <v>24601</v>
      </c>
      <c r="B95" s="8" t="s">
        <v>52</v>
      </c>
      <c r="C95" s="44">
        <v>250000</v>
      </c>
      <c r="D95" s="44">
        <v>78050.75</v>
      </c>
      <c r="E95" s="44">
        <v>328050.75</v>
      </c>
      <c r="F95" s="44">
        <v>328050.75</v>
      </c>
      <c r="G95" s="44">
        <f t="shared" si="25"/>
        <v>0</v>
      </c>
      <c r="H95" s="44">
        <f t="shared" si="27"/>
        <v>328050.75</v>
      </c>
      <c r="I95" s="44">
        <f t="shared" si="28"/>
        <v>0</v>
      </c>
      <c r="J95" s="44">
        <f t="shared" si="26"/>
        <v>0</v>
      </c>
      <c r="K95" s="44">
        <f t="shared" si="29"/>
        <v>328050.75</v>
      </c>
      <c r="L95" s="44">
        <f t="shared" si="23"/>
        <v>328050.75</v>
      </c>
      <c r="M95" s="44">
        <f t="shared" si="30"/>
        <v>0</v>
      </c>
    </row>
    <row r="96" spans="1:13" s="32" customFormat="1" ht="21" customHeight="1" x14ac:dyDescent="0.25">
      <c r="A96" s="17">
        <v>24701</v>
      </c>
      <c r="B96" s="8" t="s">
        <v>221</v>
      </c>
      <c r="C96" s="44">
        <v>250000</v>
      </c>
      <c r="D96" s="44">
        <f>-150000-80000.21+5000</f>
        <v>-225000.21000000002</v>
      </c>
      <c r="E96" s="44">
        <v>24999.789999999979</v>
      </c>
      <c r="F96" s="44">
        <v>24999.79</v>
      </c>
      <c r="G96" s="44">
        <f t="shared" si="25"/>
        <v>0</v>
      </c>
      <c r="H96" s="44">
        <f t="shared" si="27"/>
        <v>24999.79</v>
      </c>
      <c r="I96" s="44">
        <f t="shared" si="28"/>
        <v>0</v>
      </c>
      <c r="J96" s="44">
        <f t="shared" si="26"/>
        <v>0</v>
      </c>
      <c r="K96" s="44">
        <f t="shared" si="29"/>
        <v>24999.79</v>
      </c>
      <c r="L96" s="44">
        <f t="shared" si="23"/>
        <v>24999.79</v>
      </c>
      <c r="M96" s="44">
        <f t="shared" si="30"/>
        <v>0</v>
      </c>
    </row>
    <row r="97" spans="1:13" s="32" customFormat="1" ht="21" customHeight="1" x14ac:dyDescent="0.25">
      <c r="A97" s="17">
        <v>24801</v>
      </c>
      <c r="B97" s="8" t="s">
        <v>53</v>
      </c>
      <c r="C97" s="44">
        <v>250000</v>
      </c>
      <c r="D97" s="44">
        <f>-200000-20910.6+354.01</f>
        <v>-220556.59</v>
      </c>
      <c r="E97" s="44">
        <v>29443.410000000003</v>
      </c>
      <c r="F97" s="44">
        <v>29443.41</v>
      </c>
      <c r="G97" s="44">
        <f t="shared" si="25"/>
        <v>0</v>
      </c>
      <c r="H97" s="44">
        <f t="shared" si="27"/>
        <v>29443.41</v>
      </c>
      <c r="I97" s="44">
        <f t="shared" si="28"/>
        <v>0</v>
      </c>
      <c r="J97" s="44">
        <f t="shared" si="26"/>
        <v>0</v>
      </c>
      <c r="K97" s="44">
        <f t="shared" si="29"/>
        <v>29443.41</v>
      </c>
      <c r="L97" s="44">
        <f t="shared" si="23"/>
        <v>29443.41</v>
      </c>
      <c r="M97" s="44">
        <f t="shared" si="30"/>
        <v>0</v>
      </c>
    </row>
    <row r="98" spans="1:13" s="32" customFormat="1" ht="28.5" customHeight="1" x14ac:dyDescent="0.25">
      <c r="A98" s="17">
        <v>24901</v>
      </c>
      <c r="B98" s="8" t="s">
        <v>54</v>
      </c>
      <c r="C98" s="44">
        <v>200000</v>
      </c>
      <c r="D98" s="44">
        <f>-100000+1947930.24-562112.69</f>
        <v>1285817.55</v>
      </c>
      <c r="E98" s="44">
        <v>1485817.55</v>
      </c>
      <c r="F98" s="44">
        <v>1249960.1000000001</v>
      </c>
      <c r="G98" s="44">
        <f t="shared" si="25"/>
        <v>235857.44999999995</v>
      </c>
      <c r="H98" s="44">
        <f t="shared" si="27"/>
        <v>1249960.1000000001</v>
      </c>
      <c r="I98" s="44">
        <f t="shared" si="28"/>
        <v>0</v>
      </c>
      <c r="J98" s="44">
        <f t="shared" si="26"/>
        <v>235857.44999999995</v>
      </c>
      <c r="K98" s="44">
        <f t="shared" si="29"/>
        <v>1249960.1000000001</v>
      </c>
      <c r="L98" s="44">
        <f>K98-M98</f>
        <v>1014102.6500000001</v>
      </c>
      <c r="M98" s="44">
        <v>235857.45</v>
      </c>
    </row>
    <row r="99" spans="1:13" s="72" customFormat="1" ht="33.75" customHeight="1" x14ac:dyDescent="0.25">
      <c r="A99" s="65">
        <v>2500</v>
      </c>
      <c r="B99" s="71" t="s">
        <v>201</v>
      </c>
      <c r="C99" s="64">
        <f>SUM(C100:C106)</f>
        <v>330000</v>
      </c>
      <c r="D99" s="64">
        <f>SUM(D100:D106)</f>
        <v>-222423.47</v>
      </c>
      <c r="E99" s="64">
        <v>107576.53</v>
      </c>
      <c r="F99" s="64">
        <f>SUM(F100:F106)</f>
        <v>107576.53</v>
      </c>
      <c r="G99" s="64">
        <f t="shared" ref="G99:M99" si="33">SUM(G100:G106)</f>
        <v>1.1596057447604835E-11</v>
      </c>
      <c r="H99" s="64">
        <f>SUM(H100:H106)</f>
        <v>107576.53</v>
      </c>
      <c r="I99" s="64">
        <f t="shared" si="33"/>
        <v>0</v>
      </c>
      <c r="J99" s="64">
        <f t="shared" si="33"/>
        <v>1.1596057447604835E-11</v>
      </c>
      <c r="K99" s="64">
        <f t="shared" si="33"/>
        <v>107576.53</v>
      </c>
      <c r="L99" s="64">
        <f t="shared" si="33"/>
        <v>107576.53</v>
      </c>
      <c r="M99" s="64">
        <f t="shared" si="33"/>
        <v>0</v>
      </c>
    </row>
    <row r="100" spans="1:13" s="32" customFormat="1" ht="21" customHeight="1" x14ac:dyDescent="0.25">
      <c r="A100" s="17">
        <v>25101</v>
      </c>
      <c r="B100" s="8" t="s">
        <v>55</v>
      </c>
      <c r="C100" s="44">
        <v>150000</v>
      </c>
      <c r="D100" s="44">
        <f>-100000-48594.55</f>
        <v>-148594.54999999999</v>
      </c>
      <c r="E100" s="44">
        <v>1405.4500000000116</v>
      </c>
      <c r="F100" s="44">
        <v>1405.45</v>
      </c>
      <c r="G100" s="44">
        <f t="shared" si="25"/>
        <v>1.1596057447604835E-11</v>
      </c>
      <c r="H100" s="44">
        <f t="shared" si="27"/>
        <v>1405.45</v>
      </c>
      <c r="I100" s="44">
        <f t="shared" si="28"/>
        <v>0</v>
      </c>
      <c r="J100" s="44">
        <f t="shared" si="26"/>
        <v>1.1596057447604835E-11</v>
      </c>
      <c r="K100" s="44">
        <f t="shared" si="29"/>
        <v>1405.45</v>
      </c>
      <c r="L100" s="44">
        <f t="shared" si="23"/>
        <v>1405.45</v>
      </c>
      <c r="M100" s="44">
        <f t="shared" si="30"/>
        <v>0</v>
      </c>
    </row>
    <row r="101" spans="1:13" s="32" customFormat="1" ht="21" customHeight="1" x14ac:dyDescent="0.25">
      <c r="A101" s="17">
        <v>25201</v>
      </c>
      <c r="B101" s="8" t="s">
        <v>56</v>
      </c>
      <c r="C101" s="44"/>
      <c r="D101" s="44">
        <f>20000-20000</f>
        <v>0</v>
      </c>
      <c r="E101" s="44">
        <v>0</v>
      </c>
      <c r="F101" s="44">
        <v>0</v>
      </c>
      <c r="G101" s="44">
        <f t="shared" si="25"/>
        <v>0</v>
      </c>
      <c r="H101" s="44">
        <f t="shared" si="27"/>
        <v>0</v>
      </c>
      <c r="I101" s="44">
        <f t="shared" si="28"/>
        <v>0</v>
      </c>
      <c r="J101" s="44">
        <f t="shared" si="26"/>
        <v>0</v>
      </c>
      <c r="K101" s="44">
        <f t="shared" si="29"/>
        <v>0</v>
      </c>
      <c r="L101" s="44">
        <f t="shared" si="23"/>
        <v>0</v>
      </c>
      <c r="M101" s="44">
        <f t="shared" si="30"/>
        <v>0</v>
      </c>
    </row>
    <row r="102" spans="1:13" s="32" customFormat="1" ht="21" customHeight="1" x14ac:dyDescent="0.25">
      <c r="A102" s="17">
        <v>25301</v>
      </c>
      <c r="B102" s="8" t="s">
        <v>57</v>
      </c>
      <c r="C102" s="44">
        <v>15000</v>
      </c>
      <c r="D102" s="44">
        <v>-15000</v>
      </c>
      <c r="E102" s="44">
        <v>0</v>
      </c>
      <c r="F102" s="44">
        <v>0</v>
      </c>
      <c r="G102" s="44">
        <f t="shared" si="25"/>
        <v>0</v>
      </c>
      <c r="H102" s="44">
        <f t="shared" si="27"/>
        <v>0</v>
      </c>
      <c r="I102" s="44">
        <f t="shared" si="28"/>
        <v>0</v>
      </c>
      <c r="J102" s="44">
        <f t="shared" si="26"/>
        <v>0</v>
      </c>
      <c r="K102" s="44">
        <f t="shared" si="29"/>
        <v>0</v>
      </c>
      <c r="L102" s="44">
        <f t="shared" si="23"/>
        <v>0</v>
      </c>
      <c r="M102" s="44">
        <f t="shared" si="30"/>
        <v>0</v>
      </c>
    </row>
    <row r="103" spans="1:13" s="32" customFormat="1" ht="21" customHeight="1" x14ac:dyDescent="0.25">
      <c r="A103" s="17">
        <v>25401</v>
      </c>
      <c r="B103" s="8" t="s">
        <v>58</v>
      </c>
      <c r="C103" s="44">
        <v>15000</v>
      </c>
      <c r="D103" s="44">
        <f>50000-41300.97+4374.65</f>
        <v>13073.679999999998</v>
      </c>
      <c r="E103" s="44">
        <v>28073.68</v>
      </c>
      <c r="F103" s="44">
        <v>28073.68</v>
      </c>
      <c r="G103" s="44">
        <f t="shared" si="25"/>
        <v>0</v>
      </c>
      <c r="H103" s="44">
        <f t="shared" si="27"/>
        <v>28073.68</v>
      </c>
      <c r="I103" s="44">
        <f t="shared" si="28"/>
        <v>0</v>
      </c>
      <c r="J103" s="44">
        <f t="shared" si="26"/>
        <v>0</v>
      </c>
      <c r="K103" s="44">
        <f t="shared" si="29"/>
        <v>28073.68</v>
      </c>
      <c r="L103" s="44">
        <f t="shared" si="23"/>
        <v>28073.68</v>
      </c>
      <c r="M103" s="44">
        <f t="shared" si="30"/>
        <v>0</v>
      </c>
    </row>
    <row r="104" spans="1:13" s="32" customFormat="1" ht="33" customHeight="1" x14ac:dyDescent="0.25">
      <c r="A104" s="17">
        <v>25501</v>
      </c>
      <c r="B104" s="8" t="s">
        <v>59</v>
      </c>
      <c r="C104" s="44">
        <v>150000</v>
      </c>
      <c r="D104" s="44">
        <f>-100000-49437+67094.4</f>
        <v>-82342.600000000006</v>
      </c>
      <c r="E104" s="44">
        <v>67657.399999999994</v>
      </c>
      <c r="F104" s="44">
        <v>67657.399999999994</v>
      </c>
      <c r="G104" s="44">
        <f t="shared" si="25"/>
        <v>0</v>
      </c>
      <c r="H104" s="44">
        <f t="shared" si="27"/>
        <v>67657.399999999994</v>
      </c>
      <c r="I104" s="44">
        <f t="shared" si="28"/>
        <v>0</v>
      </c>
      <c r="J104" s="44">
        <f t="shared" si="26"/>
        <v>0</v>
      </c>
      <c r="K104" s="44">
        <f t="shared" si="29"/>
        <v>67657.399999999994</v>
      </c>
      <c r="L104" s="44">
        <f t="shared" si="23"/>
        <v>67657.399999999994</v>
      </c>
      <c r="M104" s="44">
        <f t="shared" si="30"/>
        <v>0</v>
      </c>
    </row>
    <row r="105" spans="1:13" s="32" customFormat="1" ht="30" x14ac:dyDescent="0.25">
      <c r="A105" s="17">
        <v>25601</v>
      </c>
      <c r="B105" s="8" t="s">
        <v>230</v>
      </c>
      <c r="C105" s="44"/>
      <c r="D105" s="44">
        <f>10000-10000</f>
        <v>0</v>
      </c>
      <c r="E105" s="44">
        <v>0</v>
      </c>
      <c r="F105" s="44">
        <v>0</v>
      </c>
      <c r="G105" s="44">
        <f t="shared" si="25"/>
        <v>0</v>
      </c>
      <c r="H105" s="44">
        <f t="shared" si="27"/>
        <v>0</v>
      </c>
      <c r="I105" s="44">
        <f t="shared" si="28"/>
        <v>0</v>
      </c>
      <c r="J105" s="44">
        <f t="shared" si="26"/>
        <v>0</v>
      </c>
      <c r="K105" s="44">
        <f t="shared" si="29"/>
        <v>0</v>
      </c>
      <c r="L105" s="44">
        <f t="shared" si="23"/>
        <v>0</v>
      </c>
      <c r="M105" s="44">
        <f t="shared" si="30"/>
        <v>0</v>
      </c>
    </row>
    <row r="106" spans="1:13" s="32" customFormat="1" ht="21" customHeight="1" x14ac:dyDescent="0.25">
      <c r="A106" s="17">
        <v>25901</v>
      </c>
      <c r="B106" s="8" t="s">
        <v>241</v>
      </c>
      <c r="C106" s="44">
        <v>0</v>
      </c>
      <c r="D106" s="44">
        <v>10440</v>
      </c>
      <c r="E106" s="44">
        <v>10440</v>
      </c>
      <c r="F106" s="44">
        <v>10440</v>
      </c>
      <c r="G106" s="44">
        <f t="shared" ref="G106" si="34">E106-F106</f>
        <v>0</v>
      </c>
      <c r="H106" s="44">
        <f t="shared" ref="H106" si="35">F106</f>
        <v>10440</v>
      </c>
      <c r="I106" s="44">
        <f t="shared" ref="I106" si="36">F106-H106</f>
        <v>0</v>
      </c>
      <c r="J106" s="44">
        <f t="shared" ref="J106" si="37">E106-H106</f>
        <v>0</v>
      </c>
      <c r="K106" s="44">
        <f t="shared" ref="K106" si="38">F106</f>
        <v>10440</v>
      </c>
      <c r="L106" s="44">
        <f t="shared" ref="L106" si="39">K106</f>
        <v>10440</v>
      </c>
      <c r="M106" s="44">
        <f t="shared" ref="M106" si="40">H106-L106</f>
        <v>0</v>
      </c>
    </row>
    <row r="107" spans="1:13" s="72" customFormat="1" ht="20.100000000000001" customHeight="1" x14ac:dyDescent="0.25">
      <c r="A107" s="65">
        <v>2600</v>
      </c>
      <c r="B107" s="71" t="s">
        <v>203</v>
      </c>
      <c r="C107" s="64">
        <f>SUM(C108:C108)</f>
        <v>2000000</v>
      </c>
      <c r="D107" s="64">
        <f>SUM(D108:D108)</f>
        <v>-1374412.32</v>
      </c>
      <c r="E107" s="64">
        <v>625587.67999999993</v>
      </c>
      <c r="F107" s="64">
        <f t="shared" ref="F107:M107" si="41">F108</f>
        <v>625587.68000000005</v>
      </c>
      <c r="G107" s="64">
        <f t="shared" si="41"/>
        <v>0</v>
      </c>
      <c r="H107" s="64">
        <f t="shared" si="41"/>
        <v>625587.68000000005</v>
      </c>
      <c r="I107" s="64">
        <f t="shared" si="41"/>
        <v>0</v>
      </c>
      <c r="J107" s="64">
        <f t="shared" si="41"/>
        <v>0</v>
      </c>
      <c r="K107" s="64">
        <f t="shared" si="41"/>
        <v>625587.68000000005</v>
      </c>
      <c r="L107" s="64">
        <f t="shared" si="41"/>
        <v>625587.68000000005</v>
      </c>
      <c r="M107" s="64">
        <f t="shared" si="41"/>
        <v>0</v>
      </c>
    </row>
    <row r="108" spans="1:13" s="32" customFormat="1" ht="30" x14ac:dyDescent="0.25">
      <c r="A108" s="17">
        <v>26104</v>
      </c>
      <c r="B108" s="8" t="s">
        <v>141</v>
      </c>
      <c r="C108" s="44">
        <v>2000000</v>
      </c>
      <c r="D108" s="44">
        <f>-700000-650000-24412.32</f>
        <v>-1374412.32</v>
      </c>
      <c r="E108" s="44">
        <v>625587.67999999993</v>
      </c>
      <c r="F108" s="44">
        <v>625587.68000000005</v>
      </c>
      <c r="G108" s="44">
        <f t="shared" si="25"/>
        <v>0</v>
      </c>
      <c r="H108" s="44">
        <f t="shared" si="27"/>
        <v>625587.68000000005</v>
      </c>
      <c r="I108" s="44">
        <f t="shared" si="28"/>
        <v>0</v>
      </c>
      <c r="J108" s="44">
        <f t="shared" si="26"/>
        <v>0</v>
      </c>
      <c r="K108" s="44">
        <f t="shared" si="29"/>
        <v>625587.68000000005</v>
      </c>
      <c r="L108" s="44">
        <f t="shared" si="23"/>
        <v>625587.68000000005</v>
      </c>
      <c r="M108" s="44">
        <f t="shared" si="30"/>
        <v>0</v>
      </c>
    </row>
    <row r="109" spans="1:13" s="72" customFormat="1" ht="36.75" customHeight="1" x14ac:dyDescent="0.25">
      <c r="A109" s="65">
        <v>2700</v>
      </c>
      <c r="B109" s="71" t="s">
        <v>204</v>
      </c>
      <c r="C109" s="64">
        <f>SUM(C110:C112)</f>
        <v>100000</v>
      </c>
      <c r="D109" s="64">
        <f t="shared" ref="D109:M109" si="42">SUM(D110:D112)</f>
        <v>1131672.1400000001</v>
      </c>
      <c r="E109" s="64">
        <v>1231672.1400000001</v>
      </c>
      <c r="F109" s="64">
        <f t="shared" si="42"/>
        <v>1231672.1400000001</v>
      </c>
      <c r="G109" s="64">
        <f t="shared" si="42"/>
        <v>0</v>
      </c>
      <c r="H109" s="64">
        <f t="shared" si="42"/>
        <v>1231672.1400000001</v>
      </c>
      <c r="I109" s="64">
        <f t="shared" si="42"/>
        <v>0</v>
      </c>
      <c r="J109" s="64">
        <f t="shared" si="42"/>
        <v>0</v>
      </c>
      <c r="K109" s="64">
        <f t="shared" si="42"/>
        <v>1231672.1400000001</v>
      </c>
      <c r="L109" s="64">
        <f t="shared" si="42"/>
        <v>134142.77999999997</v>
      </c>
      <c r="M109" s="64">
        <f t="shared" si="42"/>
        <v>1097529.3600000001</v>
      </c>
    </row>
    <row r="110" spans="1:13" s="32" customFormat="1" ht="21" customHeight="1" x14ac:dyDescent="0.25">
      <c r="A110" s="17">
        <v>27101</v>
      </c>
      <c r="B110" s="8" t="s">
        <v>60</v>
      </c>
      <c r="C110" s="44">
        <v>50000</v>
      </c>
      <c r="D110" s="44">
        <f>831100+220169.32</f>
        <v>1051269.32</v>
      </c>
      <c r="E110" s="44">
        <v>1101269.32</v>
      </c>
      <c r="F110" s="44">
        <v>1101269.32</v>
      </c>
      <c r="G110" s="44">
        <f t="shared" si="25"/>
        <v>0</v>
      </c>
      <c r="H110" s="44">
        <f t="shared" si="27"/>
        <v>1101269.32</v>
      </c>
      <c r="I110" s="44">
        <f t="shared" si="28"/>
        <v>0</v>
      </c>
      <c r="J110" s="44">
        <f t="shared" si="26"/>
        <v>0</v>
      </c>
      <c r="K110" s="44">
        <f t="shared" si="29"/>
        <v>1101269.32</v>
      </c>
      <c r="L110" s="44">
        <f>K110-1097529.36</f>
        <v>3739.9599999999627</v>
      </c>
      <c r="M110" s="44">
        <f t="shared" si="30"/>
        <v>1097529.3600000001</v>
      </c>
    </row>
    <row r="111" spans="1:13" s="32" customFormat="1" ht="21" customHeight="1" x14ac:dyDescent="0.25">
      <c r="A111" s="17">
        <v>27201</v>
      </c>
      <c r="B111" s="8" t="s">
        <v>61</v>
      </c>
      <c r="C111" s="44">
        <v>50000</v>
      </c>
      <c r="D111" s="44">
        <f>100000-71676.8+52079.62</f>
        <v>80402.820000000007</v>
      </c>
      <c r="E111" s="44">
        <v>130402.82</v>
      </c>
      <c r="F111" s="44">
        <v>130402.82</v>
      </c>
      <c r="G111" s="44">
        <f t="shared" si="25"/>
        <v>0</v>
      </c>
      <c r="H111" s="44">
        <f t="shared" si="27"/>
        <v>130402.82</v>
      </c>
      <c r="I111" s="44">
        <f t="shared" si="28"/>
        <v>0</v>
      </c>
      <c r="J111" s="44">
        <f t="shared" si="26"/>
        <v>0</v>
      </c>
      <c r="K111" s="44">
        <f t="shared" si="29"/>
        <v>130402.82</v>
      </c>
      <c r="L111" s="44">
        <f t="shared" si="23"/>
        <v>130402.82</v>
      </c>
      <c r="M111" s="44">
        <f t="shared" si="30"/>
        <v>0</v>
      </c>
    </row>
    <row r="112" spans="1:13" s="32" customFormat="1" ht="21" customHeight="1" x14ac:dyDescent="0.25">
      <c r="A112" s="17">
        <v>27301</v>
      </c>
      <c r="B112" s="8" t="s">
        <v>62</v>
      </c>
      <c r="C112" s="44"/>
      <c r="D112" s="44">
        <v>0</v>
      </c>
      <c r="E112" s="44">
        <v>0</v>
      </c>
      <c r="F112" s="44">
        <v>0</v>
      </c>
      <c r="G112" s="44">
        <f t="shared" si="25"/>
        <v>0</v>
      </c>
      <c r="H112" s="44">
        <f t="shared" si="27"/>
        <v>0</v>
      </c>
      <c r="I112" s="44">
        <f t="shared" si="28"/>
        <v>0</v>
      </c>
      <c r="J112" s="44">
        <f t="shared" si="26"/>
        <v>0</v>
      </c>
      <c r="K112" s="44">
        <f t="shared" si="29"/>
        <v>0</v>
      </c>
      <c r="L112" s="44">
        <f t="shared" si="23"/>
        <v>0</v>
      </c>
      <c r="M112" s="44">
        <f t="shared" si="30"/>
        <v>0</v>
      </c>
    </row>
    <row r="113" spans="1:13" s="72" customFormat="1" ht="33" customHeight="1" x14ac:dyDescent="0.25">
      <c r="A113" s="65">
        <v>2900</v>
      </c>
      <c r="B113" s="71" t="s">
        <v>205</v>
      </c>
      <c r="C113" s="64">
        <f t="shared" ref="C113:M113" si="43">SUM(C114:C118)</f>
        <v>0</v>
      </c>
      <c r="D113" s="64">
        <f t="shared" si="43"/>
        <v>314463.18</v>
      </c>
      <c r="E113" s="64">
        <v>314463.18</v>
      </c>
      <c r="F113" s="64">
        <f t="shared" si="43"/>
        <v>314463.18</v>
      </c>
      <c r="G113" s="64">
        <f t="shared" si="43"/>
        <v>0</v>
      </c>
      <c r="H113" s="64">
        <f t="shared" si="43"/>
        <v>314463.18</v>
      </c>
      <c r="I113" s="64">
        <f t="shared" si="43"/>
        <v>0</v>
      </c>
      <c r="J113" s="64">
        <f t="shared" si="43"/>
        <v>0</v>
      </c>
      <c r="K113" s="64">
        <f t="shared" si="43"/>
        <v>314463.18</v>
      </c>
      <c r="L113" s="64">
        <f t="shared" si="43"/>
        <v>314463.18</v>
      </c>
      <c r="M113" s="64">
        <f t="shared" si="43"/>
        <v>0</v>
      </c>
    </row>
    <row r="114" spans="1:13" s="32" customFormat="1" ht="21" customHeight="1" x14ac:dyDescent="0.25">
      <c r="A114" s="17">
        <v>29101</v>
      </c>
      <c r="B114" s="8" t="s">
        <v>63</v>
      </c>
      <c r="C114" s="44"/>
      <c r="D114" s="44">
        <f>100000-50583.85+202857.67</f>
        <v>252273.82</v>
      </c>
      <c r="E114" s="44">
        <v>252273.82</v>
      </c>
      <c r="F114" s="44">
        <v>252273.82</v>
      </c>
      <c r="G114" s="44">
        <f t="shared" si="25"/>
        <v>0</v>
      </c>
      <c r="H114" s="44">
        <f t="shared" si="27"/>
        <v>252273.82</v>
      </c>
      <c r="I114" s="44">
        <f t="shared" si="28"/>
        <v>0</v>
      </c>
      <c r="J114" s="44">
        <f t="shared" si="26"/>
        <v>0</v>
      </c>
      <c r="K114" s="44">
        <f t="shared" si="29"/>
        <v>252273.82</v>
      </c>
      <c r="L114" s="44">
        <f t="shared" si="23"/>
        <v>252273.82</v>
      </c>
      <c r="M114" s="44">
        <f t="shared" si="30"/>
        <v>0</v>
      </c>
    </row>
    <row r="115" spans="1:13" s="32" customFormat="1" ht="21" customHeight="1" x14ac:dyDescent="0.25">
      <c r="A115" s="17">
        <v>29201</v>
      </c>
      <c r="B115" s="8" t="s">
        <v>94</v>
      </c>
      <c r="C115" s="44"/>
      <c r="D115" s="44">
        <f>20000-20000</f>
        <v>0</v>
      </c>
      <c r="E115" s="44">
        <v>0</v>
      </c>
      <c r="F115" s="44">
        <v>0</v>
      </c>
      <c r="G115" s="44">
        <f t="shared" si="25"/>
        <v>0</v>
      </c>
      <c r="H115" s="44">
        <f t="shared" si="27"/>
        <v>0</v>
      </c>
      <c r="I115" s="44">
        <f t="shared" si="28"/>
        <v>0</v>
      </c>
      <c r="J115" s="44">
        <f t="shared" si="26"/>
        <v>0</v>
      </c>
      <c r="K115" s="44">
        <f t="shared" si="29"/>
        <v>0</v>
      </c>
      <c r="L115" s="44">
        <f t="shared" si="23"/>
        <v>0</v>
      </c>
      <c r="M115" s="44">
        <f t="shared" si="30"/>
        <v>0</v>
      </c>
    </row>
    <row r="116" spans="1:13" s="32" customFormat="1" ht="33.75" customHeight="1" x14ac:dyDescent="0.25">
      <c r="A116" s="17">
        <v>29301</v>
      </c>
      <c r="B116" s="8" t="s">
        <v>163</v>
      </c>
      <c r="C116" s="44"/>
      <c r="D116" s="44">
        <f>20000-20000</f>
        <v>0</v>
      </c>
      <c r="E116" s="44">
        <v>0</v>
      </c>
      <c r="F116" s="44">
        <v>0</v>
      </c>
      <c r="G116" s="44">
        <f t="shared" si="25"/>
        <v>0</v>
      </c>
      <c r="H116" s="44">
        <f t="shared" si="27"/>
        <v>0</v>
      </c>
      <c r="I116" s="44">
        <f t="shared" si="28"/>
        <v>0</v>
      </c>
      <c r="J116" s="44">
        <f t="shared" si="26"/>
        <v>0</v>
      </c>
      <c r="K116" s="44">
        <f t="shared" si="29"/>
        <v>0</v>
      </c>
      <c r="L116" s="44">
        <f t="shared" si="23"/>
        <v>0</v>
      </c>
      <c r="M116" s="44">
        <f t="shared" si="30"/>
        <v>0</v>
      </c>
    </row>
    <row r="117" spans="1:13" s="32" customFormat="1" ht="30" x14ac:dyDescent="0.25">
      <c r="A117" s="17">
        <v>29401</v>
      </c>
      <c r="B117" s="8" t="s">
        <v>64</v>
      </c>
      <c r="C117" s="44"/>
      <c r="D117" s="44">
        <f>150000-91070.64+3260</f>
        <v>62189.36</v>
      </c>
      <c r="E117" s="44">
        <v>62189.36</v>
      </c>
      <c r="F117" s="44">
        <v>62189.36</v>
      </c>
      <c r="G117" s="44">
        <f t="shared" si="25"/>
        <v>0</v>
      </c>
      <c r="H117" s="44">
        <f t="shared" si="27"/>
        <v>62189.36</v>
      </c>
      <c r="I117" s="44">
        <f t="shared" si="28"/>
        <v>0</v>
      </c>
      <c r="J117" s="44">
        <f t="shared" si="26"/>
        <v>0</v>
      </c>
      <c r="K117" s="44">
        <f t="shared" si="29"/>
        <v>62189.36</v>
      </c>
      <c r="L117" s="44">
        <f t="shared" si="23"/>
        <v>62189.36</v>
      </c>
      <c r="M117" s="44">
        <f t="shared" si="30"/>
        <v>0</v>
      </c>
    </row>
    <row r="118" spans="1:13" s="32" customFormat="1" ht="30" x14ac:dyDescent="0.25">
      <c r="A118" s="17">
        <v>29601</v>
      </c>
      <c r="B118" s="8" t="s">
        <v>226</v>
      </c>
      <c r="C118" s="44"/>
      <c r="D118" s="44">
        <v>0</v>
      </c>
      <c r="E118" s="44">
        <v>0</v>
      </c>
      <c r="F118" s="44">
        <v>0</v>
      </c>
      <c r="G118" s="44">
        <f t="shared" si="25"/>
        <v>0</v>
      </c>
      <c r="H118" s="44">
        <f t="shared" si="27"/>
        <v>0</v>
      </c>
      <c r="I118" s="44">
        <f t="shared" si="28"/>
        <v>0</v>
      </c>
      <c r="J118" s="44">
        <f t="shared" si="26"/>
        <v>0</v>
      </c>
      <c r="K118" s="44">
        <f t="shared" si="29"/>
        <v>0</v>
      </c>
      <c r="L118" s="44">
        <f t="shared" si="23"/>
        <v>0</v>
      </c>
      <c r="M118" s="44">
        <f t="shared" si="30"/>
        <v>0</v>
      </c>
    </row>
    <row r="119" spans="1:13" s="32" customFormat="1" ht="17.100000000000001" customHeight="1" thickBot="1" x14ac:dyDescent="0.3">
      <c r="A119" s="74"/>
      <c r="B119" s="77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1:13" s="32" customFormat="1" ht="21.95" customHeight="1" thickBot="1" x14ac:dyDescent="0.3">
      <c r="A120" s="16"/>
      <c r="B120" s="78" t="s">
        <v>99</v>
      </c>
      <c r="C120" s="30">
        <f t="shared" ref="C120:L120" si="44">C79+C86+C89+C99+C107+C109+C113</f>
        <v>5500000</v>
      </c>
      <c r="D120" s="30">
        <f t="shared" si="44"/>
        <v>-771630.99999999977</v>
      </c>
      <c r="E120" s="30">
        <v>4728369</v>
      </c>
      <c r="F120" s="30">
        <f t="shared" si="44"/>
        <v>4492511.55</v>
      </c>
      <c r="G120" s="30">
        <f t="shared" si="44"/>
        <v>235857.44999999995</v>
      </c>
      <c r="H120" s="30">
        <f t="shared" si="44"/>
        <v>4492511.55</v>
      </c>
      <c r="I120" s="30">
        <f t="shared" si="44"/>
        <v>0</v>
      </c>
      <c r="J120" s="30">
        <f t="shared" si="44"/>
        <v>235857.44999999995</v>
      </c>
      <c r="K120" s="30">
        <f t="shared" si="44"/>
        <v>4492511.55</v>
      </c>
      <c r="L120" s="30">
        <f t="shared" si="44"/>
        <v>3159124.7399999998</v>
      </c>
      <c r="M120" s="30">
        <f>M79+M86+M89+M99+M107+M109+M113</f>
        <v>1333386.81</v>
      </c>
    </row>
    <row r="121" spans="1:13" s="32" customFormat="1" x14ac:dyDescent="0.25">
      <c r="A121" s="79"/>
      <c r="B121" s="80"/>
      <c r="C121" s="48"/>
      <c r="D121" s="48"/>
      <c r="E121" s="48"/>
      <c r="F121" s="48"/>
      <c r="G121" s="48"/>
      <c r="H121" s="48"/>
      <c r="I121" s="48"/>
      <c r="J121" s="48"/>
      <c r="K121" s="48"/>
      <c r="L121" s="44"/>
      <c r="M121" s="48"/>
    </row>
    <row r="122" spans="1:13" s="32" customFormat="1" ht="27" customHeight="1" x14ac:dyDescent="0.25">
      <c r="A122" s="65">
        <v>3000</v>
      </c>
      <c r="B122" s="70" t="s">
        <v>103</v>
      </c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</row>
    <row r="123" spans="1:13" s="72" customFormat="1" ht="20.100000000000001" customHeight="1" x14ac:dyDescent="0.25">
      <c r="A123" s="65">
        <v>3100</v>
      </c>
      <c r="B123" s="70" t="s">
        <v>206</v>
      </c>
      <c r="C123" s="64">
        <f>SUM(C124:C128)</f>
        <v>1125000</v>
      </c>
      <c r="D123" s="64">
        <f t="shared" ref="D123:M123" si="45">SUM(D124:D128)</f>
        <v>-514928.78999999992</v>
      </c>
      <c r="E123" s="64">
        <v>610071.21000000008</v>
      </c>
      <c r="F123" s="64">
        <f t="shared" si="45"/>
        <v>610071.21</v>
      </c>
      <c r="G123" s="64">
        <f t="shared" si="45"/>
        <v>0</v>
      </c>
      <c r="H123" s="64">
        <f t="shared" si="45"/>
        <v>610071.21</v>
      </c>
      <c r="I123" s="64">
        <f t="shared" si="45"/>
        <v>0</v>
      </c>
      <c r="J123" s="64">
        <f t="shared" si="45"/>
        <v>0</v>
      </c>
      <c r="K123" s="64">
        <f t="shared" si="45"/>
        <v>610071.21</v>
      </c>
      <c r="L123" s="64">
        <f t="shared" si="45"/>
        <v>610071.21</v>
      </c>
      <c r="M123" s="64">
        <f t="shared" si="45"/>
        <v>0</v>
      </c>
    </row>
    <row r="124" spans="1:13" s="32" customFormat="1" ht="21" customHeight="1" x14ac:dyDescent="0.25">
      <c r="A124" s="17">
        <v>31101</v>
      </c>
      <c r="B124" s="8" t="s">
        <v>91</v>
      </c>
      <c r="C124" s="44"/>
      <c r="D124" s="44">
        <v>0</v>
      </c>
      <c r="E124" s="44">
        <v>0</v>
      </c>
      <c r="F124" s="44">
        <v>0</v>
      </c>
      <c r="G124" s="44">
        <f>E124-F124</f>
        <v>0</v>
      </c>
      <c r="H124" s="44">
        <f>F124</f>
        <v>0</v>
      </c>
      <c r="I124" s="44">
        <f>F124-H124</f>
        <v>0</v>
      </c>
      <c r="J124" s="44">
        <f>E124-H124</f>
        <v>0</v>
      </c>
      <c r="K124" s="44">
        <f>F124</f>
        <v>0</v>
      </c>
      <c r="L124" s="44">
        <f t="shared" si="23"/>
        <v>0</v>
      </c>
      <c r="M124" s="44">
        <f>H124-L124</f>
        <v>0</v>
      </c>
    </row>
    <row r="125" spans="1:13" s="32" customFormat="1" ht="21" customHeight="1" x14ac:dyDescent="0.25">
      <c r="A125" s="17">
        <v>31301</v>
      </c>
      <c r="B125" s="8" t="s">
        <v>65</v>
      </c>
      <c r="C125" s="44">
        <v>125000</v>
      </c>
      <c r="D125" s="44">
        <v>-111323</v>
      </c>
      <c r="E125" s="44">
        <v>13677</v>
      </c>
      <c r="F125" s="44">
        <v>13677</v>
      </c>
      <c r="G125" s="44">
        <f t="shared" ref="G125:G175" si="46">E125-F125</f>
        <v>0</v>
      </c>
      <c r="H125" s="44">
        <f t="shared" ref="H125:H175" si="47">F125</f>
        <v>13677</v>
      </c>
      <c r="I125" s="44">
        <f t="shared" ref="I125:I175" si="48">F125-H125</f>
        <v>0</v>
      </c>
      <c r="J125" s="44">
        <f t="shared" ref="J125:J175" si="49">E125-H125</f>
        <v>0</v>
      </c>
      <c r="K125" s="44">
        <f t="shared" ref="K125:K175" si="50">F125</f>
        <v>13677</v>
      </c>
      <c r="L125" s="44">
        <f t="shared" si="23"/>
        <v>13677</v>
      </c>
      <c r="M125" s="44">
        <f t="shared" ref="M125:M175" si="51">H125-L125</f>
        <v>0</v>
      </c>
    </row>
    <row r="126" spans="1:13" s="32" customFormat="1" ht="21" customHeight="1" x14ac:dyDescent="0.25">
      <c r="A126" s="17">
        <v>31401</v>
      </c>
      <c r="B126" s="8" t="s">
        <v>92</v>
      </c>
      <c r="C126" s="44">
        <v>1000000</v>
      </c>
      <c r="D126" s="44">
        <f>-409002.12-383059.1</f>
        <v>-792061.22</v>
      </c>
      <c r="E126" s="44">
        <v>207938.78000000003</v>
      </c>
      <c r="F126" s="44">
        <v>207938.78</v>
      </c>
      <c r="G126" s="44">
        <f t="shared" si="46"/>
        <v>0</v>
      </c>
      <c r="H126" s="44">
        <f t="shared" si="47"/>
        <v>207938.78</v>
      </c>
      <c r="I126" s="44">
        <f t="shared" si="48"/>
        <v>0</v>
      </c>
      <c r="J126" s="44">
        <f t="shared" si="49"/>
        <v>0</v>
      </c>
      <c r="K126" s="44">
        <f t="shared" si="50"/>
        <v>207938.78</v>
      </c>
      <c r="L126" s="44">
        <f t="shared" si="23"/>
        <v>207938.78</v>
      </c>
      <c r="M126" s="44">
        <f t="shared" si="51"/>
        <v>0</v>
      </c>
    </row>
    <row r="127" spans="1:13" s="32" customFormat="1" ht="21" customHeight="1" x14ac:dyDescent="0.25">
      <c r="A127" s="17">
        <v>31602</v>
      </c>
      <c r="B127" s="8" t="s">
        <v>66</v>
      </c>
      <c r="C127" s="44"/>
      <c r="D127" s="44">
        <f>595090.14-206634.71</f>
        <v>388455.43000000005</v>
      </c>
      <c r="E127" s="44">
        <v>388455.43000000005</v>
      </c>
      <c r="F127" s="44">
        <v>388455.43</v>
      </c>
      <c r="G127" s="44">
        <f t="shared" si="46"/>
        <v>0</v>
      </c>
      <c r="H127" s="44">
        <f t="shared" si="47"/>
        <v>388455.43</v>
      </c>
      <c r="I127" s="44">
        <f t="shared" si="48"/>
        <v>0</v>
      </c>
      <c r="J127" s="44">
        <f t="shared" si="49"/>
        <v>0</v>
      </c>
      <c r="K127" s="44">
        <f t="shared" si="50"/>
        <v>388455.43</v>
      </c>
      <c r="L127" s="44">
        <f t="shared" si="23"/>
        <v>388455.43</v>
      </c>
      <c r="M127" s="44">
        <f t="shared" si="51"/>
        <v>0</v>
      </c>
    </row>
    <row r="128" spans="1:13" s="32" customFormat="1" ht="21" customHeight="1" x14ac:dyDescent="0.25">
      <c r="A128" s="17">
        <v>31801</v>
      </c>
      <c r="B128" s="8" t="s">
        <v>67</v>
      </c>
      <c r="C128" s="44"/>
      <c r="D128" s="44">
        <v>0</v>
      </c>
      <c r="E128" s="44">
        <v>0</v>
      </c>
      <c r="F128" s="44">
        <v>0</v>
      </c>
      <c r="G128" s="44">
        <f t="shared" si="46"/>
        <v>0</v>
      </c>
      <c r="H128" s="44">
        <f t="shared" si="47"/>
        <v>0</v>
      </c>
      <c r="I128" s="44">
        <f t="shared" si="48"/>
        <v>0</v>
      </c>
      <c r="J128" s="44">
        <f t="shared" si="49"/>
        <v>0</v>
      </c>
      <c r="K128" s="44">
        <f t="shared" si="50"/>
        <v>0</v>
      </c>
      <c r="L128" s="44">
        <f t="shared" si="23"/>
        <v>0</v>
      </c>
      <c r="M128" s="44">
        <f t="shared" si="51"/>
        <v>0</v>
      </c>
    </row>
    <row r="129" spans="1:13" s="72" customFormat="1" ht="24" customHeight="1" x14ac:dyDescent="0.25">
      <c r="A129" s="65">
        <v>3200</v>
      </c>
      <c r="B129" s="71" t="s">
        <v>207</v>
      </c>
      <c r="C129" s="64">
        <f>SUM(C130:C132)</f>
        <v>250000</v>
      </c>
      <c r="D129" s="64">
        <f t="shared" ref="D129:M129" si="52">SUM(D130:D132)</f>
        <v>-237388.79999999999</v>
      </c>
      <c r="E129" s="64">
        <v>12611.200000000012</v>
      </c>
      <c r="F129" s="64">
        <f t="shared" si="52"/>
        <v>12611.2</v>
      </c>
      <c r="G129" s="64">
        <f t="shared" si="52"/>
        <v>0</v>
      </c>
      <c r="H129" s="64">
        <f t="shared" si="52"/>
        <v>12611.2</v>
      </c>
      <c r="I129" s="64">
        <f t="shared" si="52"/>
        <v>0</v>
      </c>
      <c r="J129" s="64">
        <f t="shared" si="52"/>
        <v>0</v>
      </c>
      <c r="K129" s="64">
        <f t="shared" si="52"/>
        <v>12611.2</v>
      </c>
      <c r="L129" s="64">
        <f t="shared" si="52"/>
        <v>12611.2</v>
      </c>
      <c r="M129" s="64">
        <f t="shared" si="52"/>
        <v>0</v>
      </c>
    </row>
    <row r="130" spans="1:13" s="32" customFormat="1" ht="21" customHeight="1" x14ac:dyDescent="0.25">
      <c r="A130" s="17">
        <v>32201</v>
      </c>
      <c r="B130" s="8" t="s">
        <v>68</v>
      </c>
      <c r="C130" s="44"/>
      <c r="D130" s="44">
        <v>0</v>
      </c>
      <c r="E130" s="44">
        <v>0</v>
      </c>
      <c r="F130" s="44">
        <v>0</v>
      </c>
      <c r="G130" s="44">
        <f t="shared" si="46"/>
        <v>0</v>
      </c>
      <c r="H130" s="44">
        <f t="shared" si="47"/>
        <v>0</v>
      </c>
      <c r="I130" s="44">
        <f t="shared" si="48"/>
        <v>0</v>
      </c>
      <c r="J130" s="44">
        <f t="shared" si="49"/>
        <v>0</v>
      </c>
      <c r="K130" s="44">
        <f t="shared" si="50"/>
        <v>0</v>
      </c>
      <c r="L130" s="44">
        <f t="shared" si="23"/>
        <v>0</v>
      </c>
      <c r="M130" s="44">
        <f t="shared" si="51"/>
        <v>0</v>
      </c>
    </row>
    <row r="131" spans="1:13" s="32" customFormat="1" ht="21" customHeight="1" x14ac:dyDescent="0.25">
      <c r="A131" s="17">
        <v>32303</v>
      </c>
      <c r="B131" s="8" t="s">
        <v>164</v>
      </c>
      <c r="C131" s="44">
        <v>0</v>
      </c>
      <c r="D131" s="44">
        <v>0</v>
      </c>
      <c r="E131" s="44">
        <v>0</v>
      </c>
      <c r="F131" s="44">
        <v>0</v>
      </c>
      <c r="G131" s="44">
        <f t="shared" si="46"/>
        <v>0</v>
      </c>
      <c r="H131" s="44">
        <f t="shared" si="47"/>
        <v>0</v>
      </c>
      <c r="I131" s="44">
        <f t="shared" si="48"/>
        <v>0</v>
      </c>
      <c r="J131" s="44">
        <f t="shared" si="49"/>
        <v>0</v>
      </c>
      <c r="K131" s="44">
        <f t="shared" si="50"/>
        <v>0</v>
      </c>
      <c r="L131" s="44">
        <f t="shared" si="23"/>
        <v>0</v>
      </c>
      <c r="M131" s="44">
        <f t="shared" si="51"/>
        <v>0</v>
      </c>
    </row>
    <row r="132" spans="1:13" s="32" customFormat="1" ht="21" customHeight="1" x14ac:dyDescent="0.25">
      <c r="A132" s="17">
        <v>32701</v>
      </c>
      <c r="B132" s="8" t="s">
        <v>96</v>
      </c>
      <c r="C132" s="44">
        <v>250000</v>
      </c>
      <c r="D132" s="44">
        <f>-250000+12611.2</f>
        <v>-237388.79999999999</v>
      </c>
      <c r="E132" s="44">
        <v>12611.200000000012</v>
      </c>
      <c r="F132" s="44">
        <v>12611.2</v>
      </c>
      <c r="G132" s="44">
        <f t="shared" si="46"/>
        <v>0</v>
      </c>
      <c r="H132" s="44">
        <f t="shared" si="47"/>
        <v>12611.2</v>
      </c>
      <c r="I132" s="44">
        <f t="shared" si="48"/>
        <v>0</v>
      </c>
      <c r="J132" s="44">
        <f t="shared" si="49"/>
        <v>0</v>
      </c>
      <c r="K132" s="44">
        <f t="shared" si="50"/>
        <v>12611.2</v>
      </c>
      <c r="L132" s="44">
        <f t="shared" si="23"/>
        <v>12611.2</v>
      </c>
      <c r="M132" s="44">
        <f t="shared" si="51"/>
        <v>0</v>
      </c>
    </row>
    <row r="133" spans="1:13" s="72" customFormat="1" ht="39" customHeight="1" x14ac:dyDescent="0.25">
      <c r="A133" s="65">
        <v>3300</v>
      </c>
      <c r="B133" s="71" t="s">
        <v>208</v>
      </c>
      <c r="C133" s="64">
        <f t="shared" ref="C133:M133" si="53">SUM(C134:C143)</f>
        <v>2750000</v>
      </c>
      <c r="D133" s="64">
        <f t="shared" si="53"/>
        <v>-431959.76</v>
      </c>
      <c r="E133" s="64">
        <v>2318040.2400000002</v>
      </c>
      <c r="F133" s="64">
        <f t="shared" si="53"/>
        <v>2318040.2400000002</v>
      </c>
      <c r="G133" s="64">
        <f t="shared" si="53"/>
        <v>0</v>
      </c>
      <c r="H133" s="64">
        <f t="shared" si="53"/>
        <v>2318040.2400000002</v>
      </c>
      <c r="I133" s="64">
        <f t="shared" si="53"/>
        <v>0</v>
      </c>
      <c r="J133" s="64">
        <f t="shared" si="53"/>
        <v>0</v>
      </c>
      <c r="K133" s="64">
        <f t="shared" si="53"/>
        <v>2318040.2400000002</v>
      </c>
      <c r="L133" s="64">
        <f t="shared" si="53"/>
        <v>2318040.2400000002</v>
      </c>
      <c r="M133" s="64">
        <f t="shared" si="53"/>
        <v>0</v>
      </c>
    </row>
    <row r="134" spans="1:13" s="32" customFormat="1" ht="30" x14ac:dyDescent="0.25">
      <c r="A134" s="17">
        <v>33101</v>
      </c>
      <c r="B134" s="8" t="s">
        <v>69</v>
      </c>
      <c r="C134" s="44"/>
      <c r="D134" s="44">
        <f>50000-50000</f>
        <v>0</v>
      </c>
      <c r="E134" s="44">
        <v>0</v>
      </c>
      <c r="F134" s="44">
        <v>0</v>
      </c>
      <c r="G134" s="44">
        <f t="shared" si="46"/>
        <v>0</v>
      </c>
      <c r="H134" s="44">
        <f t="shared" si="47"/>
        <v>0</v>
      </c>
      <c r="I134" s="44">
        <f t="shared" si="48"/>
        <v>0</v>
      </c>
      <c r="J134" s="44">
        <f t="shared" si="49"/>
        <v>0</v>
      </c>
      <c r="K134" s="44">
        <f t="shared" si="50"/>
        <v>0</v>
      </c>
      <c r="L134" s="44">
        <f t="shared" si="23"/>
        <v>0</v>
      </c>
      <c r="M134" s="44">
        <f t="shared" si="51"/>
        <v>0</v>
      </c>
    </row>
    <row r="135" spans="1:13" s="32" customFormat="1" ht="33" customHeight="1" x14ac:dyDescent="0.25">
      <c r="A135" s="17">
        <v>33104</v>
      </c>
      <c r="B135" s="8" t="s">
        <v>228</v>
      </c>
      <c r="C135" s="44">
        <v>250000</v>
      </c>
      <c r="D135" s="44">
        <v>-250000</v>
      </c>
      <c r="E135" s="44">
        <v>0</v>
      </c>
      <c r="F135" s="44">
        <v>0</v>
      </c>
      <c r="G135" s="44">
        <f t="shared" si="46"/>
        <v>0</v>
      </c>
      <c r="H135" s="44">
        <f t="shared" si="47"/>
        <v>0</v>
      </c>
      <c r="I135" s="44">
        <f t="shared" si="48"/>
        <v>0</v>
      </c>
      <c r="J135" s="44">
        <f t="shared" si="49"/>
        <v>0</v>
      </c>
      <c r="K135" s="44">
        <f t="shared" si="50"/>
        <v>0</v>
      </c>
      <c r="L135" s="44">
        <f t="shared" si="23"/>
        <v>0</v>
      </c>
      <c r="M135" s="44">
        <f t="shared" si="51"/>
        <v>0</v>
      </c>
    </row>
    <row r="136" spans="1:13" s="32" customFormat="1" ht="30" x14ac:dyDescent="0.25">
      <c r="A136" s="17">
        <v>33201</v>
      </c>
      <c r="B136" s="8" t="s">
        <v>227</v>
      </c>
      <c r="C136" s="44"/>
      <c r="D136" s="44">
        <v>0</v>
      </c>
      <c r="E136" s="44">
        <v>0</v>
      </c>
      <c r="F136" s="44">
        <v>0</v>
      </c>
      <c r="G136" s="44">
        <f t="shared" si="46"/>
        <v>0</v>
      </c>
      <c r="H136" s="44">
        <f t="shared" si="47"/>
        <v>0</v>
      </c>
      <c r="I136" s="44">
        <f t="shared" si="48"/>
        <v>0</v>
      </c>
      <c r="J136" s="44">
        <f t="shared" si="49"/>
        <v>0</v>
      </c>
      <c r="K136" s="44">
        <f t="shared" si="50"/>
        <v>0</v>
      </c>
      <c r="L136" s="44">
        <f t="shared" si="23"/>
        <v>0</v>
      </c>
      <c r="M136" s="44">
        <f t="shared" si="51"/>
        <v>0</v>
      </c>
    </row>
    <row r="137" spans="1:13" s="32" customFormat="1" ht="18.95" customHeight="1" x14ac:dyDescent="0.25">
      <c r="A137" s="17">
        <v>33301</v>
      </c>
      <c r="B137" s="8" t="s">
        <v>97</v>
      </c>
      <c r="C137" s="44">
        <v>250000</v>
      </c>
      <c r="D137" s="44">
        <f>-200000+98480</f>
        <v>-101520</v>
      </c>
      <c r="E137" s="44">
        <v>148480</v>
      </c>
      <c r="F137" s="44">
        <v>148480</v>
      </c>
      <c r="G137" s="44">
        <f t="shared" si="46"/>
        <v>0</v>
      </c>
      <c r="H137" s="44">
        <f t="shared" si="47"/>
        <v>148480</v>
      </c>
      <c r="I137" s="44">
        <f t="shared" si="48"/>
        <v>0</v>
      </c>
      <c r="J137" s="44">
        <f t="shared" si="49"/>
        <v>0</v>
      </c>
      <c r="K137" s="44">
        <f t="shared" si="50"/>
        <v>148480</v>
      </c>
      <c r="L137" s="44">
        <f t="shared" si="23"/>
        <v>148480</v>
      </c>
      <c r="M137" s="44">
        <f t="shared" si="51"/>
        <v>0</v>
      </c>
    </row>
    <row r="138" spans="1:13" s="32" customFormat="1" ht="21" customHeight="1" x14ac:dyDescent="0.25">
      <c r="A138" s="17">
        <v>33302</v>
      </c>
      <c r="B138" s="8" t="s">
        <v>229</v>
      </c>
      <c r="C138" s="44">
        <v>0</v>
      </c>
      <c r="D138" s="44">
        <v>0</v>
      </c>
      <c r="E138" s="44">
        <v>0</v>
      </c>
      <c r="F138" s="44">
        <v>0</v>
      </c>
      <c r="G138" s="44">
        <f t="shared" si="46"/>
        <v>0</v>
      </c>
      <c r="H138" s="44">
        <f t="shared" si="47"/>
        <v>0</v>
      </c>
      <c r="I138" s="44">
        <f t="shared" si="48"/>
        <v>0</v>
      </c>
      <c r="J138" s="44">
        <f t="shared" si="49"/>
        <v>0</v>
      </c>
      <c r="K138" s="44">
        <f t="shared" si="50"/>
        <v>0</v>
      </c>
      <c r="L138" s="44">
        <f t="shared" si="23"/>
        <v>0</v>
      </c>
      <c r="M138" s="44">
        <f t="shared" si="51"/>
        <v>0</v>
      </c>
    </row>
    <row r="139" spans="1:13" s="32" customFormat="1" ht="27" customHeight="1" x14ac:dyDescent="0.25">
      <c r="A139" s="17">
        <v>33303</v>
      </c>
      <c r="B139" s="8" t="s">
        <v>173</v>
      </c>
      <c r="C139" s="44">
        <v>0</v>
      </c>
      <c r="D139" s="44">
        <v>0</v>
      </c>
      <c r="E139" s="44">
        <v>0</v>
      </c>
      <c r="F139" s="44">
        <v>0</v>
      </c>
      <c r="G139" s="44">
        <f t="shared" si="46"/>
        <v>0</v>
      </c>
      <c r="H139" s="44">
        <f t="shared" si="47"/>
        <v>0</v>
      </c>
      <c r="I139" s="44">
        <f t="shared" si="48"/>
        <v>0</v>
      </c>
      <c r="J139" s="44">
        <f t="shared" si="49"/>
        <v>0</v>
      </c>
      <c r="K139" s="44">
        <f t="shared" si="50"/>
        <v>0</v>
      </c>
      <c r="L139" s="44">
        <f t="shared" si="23"/>
        <v>0</v>
      </c>
      <c r="M139" s="44">
        <f t="shared" si="51"/>
        <v>0</v>
      </c>
    </row>
    <row r="140" spans="1:13" s="32" customFormat="1" ht="30" customHeight="1" x14ac:dyDescent="0.25">
      <c r="A140" s="17">
        <v>33401</v>
      </c>
      <c r="B140" s="8" t="s">
        <v>70</v>
      </c>
      <c r="C140" s="44">
        <v>1750000</v>
      </c>
      <c r="D140" s="44">
        <f>200000-2622.16</f>
        <v>197377.84</v>
      </c>
      <c r="E140" s="44">
        <v>1947377.84</v>
      </c>
      <c r="F140" s="44">
        <v>1947377.84</v>
      </c>
      <c r="G140" s="44">
        <f t="shared" si="46"/>
        <v>0</v>
      </c>
      <c r="H140" s="44">
        <f t="shared" si="47"/>
        <v>1947377.84</v>
      </c>
      <c r="I140" s="44">
        <f t="shared" si="48"/>
        <v>0</v>
      </c>
      <c r="J140" s="44">
        <f t="shared" si="49"/>
        <v>0</v>
      </c>
      <c r="K140" s="44">
        <f t="shared" si="50"/>
        <v>1947377.84</v>
      </c>
      <c r="L140" s="44">
        <f t="shared" si="23"/>
        <v>1947377.84</v>
      </c>
      <c r="M140" s="44">
        <f t="shared" si="51"/>
        <v>0</v>
      </c>
    </row>
    <row r="141" spans="1:13" s="32" customFormat="1" ht="18.95" customHeight="1" x14ac:dyDescent="0.25">
      <c r="A141" s="17">
        <v>33603</v>
      </c>
      <c r="B141" s="8" t="s">
        <v>81</v>
      </c>
      <c r="C141" s="44">
        <v>150000</v>
      </c>
      <c r="D141" s="44">
        <v>-150000</v>
      </c>
      <c r="E141" s="44">
        <v>0</v>
      </c>
      <c r="F141" s="44">
        <v>0</v>
      </c>
      <c r="G141" s="44">
        <f t="shared" si="46"/>
        <v>0</v>
      </c>
      <c r="H141" s="44">
        <f t="shared" si="47"/>
        <v>0</v>
      </c>
      <c r="I141" s="44">
        <f t="shared" si="48"/>
        <v>0</v>
      </c>
      <c r="J141" s="44">
        <f t="shared" si="49"/>
        <v>0</v>
      </c>
      <c r="K141" s="44">
        <f t="shared" si="50"/>
        <v>0</v>
      </c>
      <c r="L141" s="44">
        <f t="shared" si="23"/>
        <v>0</v>
      </c>
      <c r="M141" s="44">
        <f t="shared" si="51"/>
        <v>0</v>
      </c>
    </row>
    <row r="142" spans="1:13" s="32" customFormat="1" ht="29.25" customHeight="1" x14ac:dyDescent="0.25">
      <c r="A142" s="17">
        <v>33604</v>
      </c>
      <c r="B142" s="8" t="s">
        <v>170</v>
      </c>
      <c r="C142" s="44">
        <v>350000</v>
      </c>
      <c r="D142" s="44">
        <f>-150800.6-10450+33433</f>
        <v>-127817.60000000001</v>
      </c>
      <c r="E142" s="44">
        <v>222182.39999999999</v>
      </c>
      <c r="F142" s="44">
        <v>222182.39999999999</v>
      </c>
      <c r="G142" s="44">
        <f t="shared" si="46"/>
        <v>0</v>
      </c>
      <c r="H142" s="44">
        <f t="shared" si="47"/>
        <v>222182.39999999999</v>
      </c>
      <c r="I142" s="44">
        <f t="shared" si="48"/>
        <v>0</v>
      </c>
      <c r="J142" s="44">
        <f t="shared" si="49"/>
        <v>0</v>
      </c>
      <c r="K142" s="44">
        <f t="shared" si="50"/>
        <v>222182.39999999999</v>
      </c>
      <c r="L142" s="44">
        <f t="shared" si="23"/>
        <v>222182.39999999999</v>
      </c>
      <c r="M142" s="44">
        <f t="shared" si="51"/>
        <v>0</v>
      </c>
    </row>
    <row r="143" spans="1:13" s="32" customFormat="1" ht="18.95" customHeight="1" x14ac:dyDescent="0.25">
      <c r="A143" s="17">
        <v>33801</v>
      </c>
      <c r="B143" s="8" t="s">
        <v>71</v>
      </c>
      <c r="C143" s="44">
        <v>0</v>
      </c>
      <c r="D143" s="44">
        <f>348-348</f>
        <v>0</v>
      </c>
      <c r="E143" s="44">
        <v>0</v>
      </c>
      <c r="F143" s="44">
        <v>0</v>
      </c>
      <c r="G143" s="44">
        <f t="shared" si="46"/>
        <v>0</v>
      </c>
      <c r="H143" s="44">
        <f t="shared" si="47"/>
        <v>0</v>
      </c>
      <c r="I143" s="44">
        <f t="shared" si="48"/>
        <v>0</v>
      </c>
      <c r="J143" s="44">
        <f t="shared" si="49"/>
        <v>0</v>
      </c>
      <c r="K143" s="44">
        <f t="shared" si="50"/>
        <v>0</v>
      </c>
      <c r="L143" s="44">
        <f t="shared" si="23"/>
        <v>0</v>
      </c>
      <c r="M143" s="44">
        <f t="shared" si="51"/>
        <v>0</v>
      </c>
    </row>
    <row r="144" spans="1:13" s="72" customFormat="1" ht="37.5" customHeight="1" x14ac:dyDescent="0.25">
      <c r="A144" s="65">
        <v>3400</v>
      </c>
      <c r="B144" s="71" t="s">
        <v>209</v>
      </c>
      <c r="C144" s="64">
        <f>SUM(C145:C149)</f>
        <v>550000</v>
      </c>
      <c r="D144" s="64">
        <f t="shared" ref="D144:M144" si="54">SUM(D145:D149)</f>
        <v>-467250.94000000006</v>
      </c>
      <c r="E144" s="64">
        <v>82749.06</v>
      </c>
      <c r="F144" s="64">
        <f t="shared" si="54"/>
        <v>82749.06</v>
      </c>
      <c r="G144" s="64">
        <f t="shared" si="54"/>
        <v>0</v>
      </c>
      <c r="H144" s="64">
        <f t="shared" si="54"/>
        <v>82749.06</v>
      </c>
      <c r="I144" s="64">
        <f t="shared" si="54"/>
        <v>0</v>
      </c>
      <c r="J144" s="64">
        <f t="shared" si="54"/>
        <v>0</v>
      </c>
      <c r="K144" s="64">
        <f t="shared" si="54"/>
        <v>82749.06</v>
      </c>
      <c r="L144" s="64">
        <f t="shared" si="54"/>
        <v>82749.06</v>
      </c>
      <c r="M144" s="64">
        <f t="shared" si="54"/>
        <v>0</v>
      </c>
    </row>
    <row r="145" spans="1:13" s="32" customFormat="1" ht="18.95" customHeight="1" x14ac:dyDescent="0.25">
      <c r="A145" s="17">
        <v>34101</v>
      </c>
      <c r="B145" s="8" t="s">
        <v>72</v>
      </c>
      <c r="C145" s="44">
        <v>300000</v>
      </c>
      <c r="D145" s="44">
        <v>-300000</v>
      </c>
      <c r="E145" s="44">
        <v>0</v>
      </c>
      <c r="F145" s="44">
        <v>0</v>
      </c>
      <c r="G145" s="44">
        <f t="shared" si="46"/>
        <v>0</v>
      </c>
      <c r="H145" s="44">
        <f t="shared" si="47"/>
        <v>0</v>
      </c>
      <c r="I145" s="44">
        <f t="shared" si="48"/>
        <v>0</v>
      </c>
      <c r="J145" s="44">
        <f t="shared" si="49"/>
        <v>0</v>
      </c>
      <c r="K145" s="44">
        <f t="shared" si="50"/>
        <v>0</v>
      </c>
      <c r="L145" s="44">
        <f t="shared" si="23"/>
        <v>0</v>
      </c>
      <c r="M145" s="44">
        <f t="shared" si="51"/>
        <v>0</v>
      </c>
    </row>
    <row r="146" spans="1:13" s="32" customFormat="1" ht="18.95" customHeight="1" x14ac:dyDescent="0.25">
      <c r="A146" s="17">
        <v>34102</v>
      </c>
      <c r="B146" s="8" t="s">
        <v>166</v>
      </c>
      <c r="C146" s="44">
        <v>0</v>
      </c>
      <c r="D146" s="44">
        <f>150000-100000-43948.28</f>
        <v>6051.7200000000012</v>
      </c>
      <c r="E146" s="44">
        <v>6051.7200000000012</v>
      </c>
      <c r="F146" s="44">
        <v>6051.72</v>
      </c>
      <c r="G146" s="44">
        <f t="shared" si="46"/>
        <v>0</v>
      </c>
      <c r="H146" s="44">
        <f t="shared" si="47"/>
        <v>6051.72</v>
      </c>
      <c r="I146" s="44">
        <f t="shared" si="48"/>
        <v>0</v>
      </c>
      <c r="J146" s="44">
        <f t="shared" si="49"/>
        <v>0</v>
      </c>
      <c r="K146" s="44">
        <f t="shared" si="50"/>
        <v>6051.72</v>
      </c>
      <c r="L146" s="44">
        <f t="shared" si="23"/>
        <v>6051.72</v>
      </c>
      <c r="M146" s="44">
        <f t="shared" si="51"/>
        <v>0</v>
      </c>
    </row>
    <row r="147" spans="1:13" s="32" customFormat="1" ht="33.75" customHeight="1" x14ac:dyDescent="0.25">
      <c r="A147" s="17">
        <v>34401</v>
      </c>
      <c r="B147" s="8" t="s">
        <v>180</v>
      </c>
      <c r="C147" s="44">
        <v>0</v>
      </c>
      <c r="D147" s="44">
        <v>0</v>
      </c>
      <c r="E147" s="44">
        <v>0</v>
      </c>
      <c r="F147" s="44">
        <v>0</v>
      </c>
      <c r="G147" s="44">
        <f t="shared" si="46"/>
        <v>0</v>
      </c>
      <c r="H147" s="44">
        <f t="shared" si="47"/>
        <v>0</v>
      </c>
      <c r="I147" s="44">
        <f t="shared" si="48"/>
        <v>0</v>
      </c>
      <c r="J147" s="44">
        <f t="shared" si="49"/>
        <v>0</v>
      </c>
      <c r="K147" s="44">
        <f t="shared" si="50"/>
        <v>0</v>
      </c>
      <c r="L147" s="44">
        <f t="shared" si="23"/>
        <v>0</v>
      </c>
      <c r="M147" s="44">
        <f t="shared" si="51"/>
        <v>0</v>
      </c>
    </row>
    <row r="148" spans="1:13" s="32" customFormat="1" ht="18.95" customHeight="1" x14ac:dyDescent="0.25">
      <c r="A148" s="17">
        <v>34501</v>
      </c>
      <c r="B148" s="8" t="s">
        <v>73</v>
      </c>
      <c r="C148" s="44">
        <v>250000</v>
      </c>
      <c r="D148" s="44">
        <f>-250000+5913.34</f>
        <v>-244086.66</v>
      </c>
      <c r="E148" s="44">
        <v>5913.3399999999965</v>
      </c>
      <c r="F148" s="44">
        <v>5913.34</v>
      </c>
      <c r="G148" s="44">
        <f t="shared" si="46"/>
        <v>0</v>
      </c>
      <c r="H148" s="44">
        <f t="shared" si="47"/>
        <v>5913.34</v>
      </c>
      <c r="I148" s="44">
        <f t="shared" si="48"/>
        <v>0</v>
      </c>
      <c r="J148" s="44">
        <f t="shared" si="49"/>
        <v>0</v>
      </c>
      <c r="K148" s="44">
        <f t="shared" si="50"/>
        <v>5913.34</v>
      </c>
      <c r="L148" s="44">
        <f t="shared" si="23"/>
        <v>5913.34</v>
      </c>
      <c r="M148" s="44">
        <f t="shared" si="51"/>
        <v>0</v>
      </c>
    </row>
    <row r="149" spans="1:13" s="32" customFormat="1" ht="18.95" customHeight="1" x14ac:dyDescent="0.25">
      <c r="A149" s="17">
        <v>34701</v>
      </c>
      <c r="B149" s="8" t="s">
        <v>74</v>
      </c>
      <c r="C149" s="44"/>
      <c r="D149" s="44">
        <f>100000-29216</f>
        <v>70784</v>
      </c>
      <c r="E149" s="44">
        <v>70784</v>
      </c>
      <c r="F149" s="44">
        <v>70784</v>
      </c>
      <c r="G149" s="44">
        <f t="shared" si="46"/>
        <v>0</v>
      </c>
      <c r="H149" s="44">
        <f t="shared" si="47"/>
        <v>70784</v>
      </c>
      <c r="I149" s="44">
        <f t="shared" si="48"/>
        <v>0</v>
      </c>
      <c r="J149" s="44">
        <f t="shared" si="49"/>
        <v>0</v>
      </c>
      <c r="K149" s="44">
        <f t="shared" si="50"/>
        <v>70784</v>
      </c>
      <c r="L149" s="44">
        <f t="shared" si="23"/>
        <v>70784</v>
      </c>
      <c r="M149" s="44">
        <f t="shared" si="51"/>
        <v>0</v>
      </c>
    </row>
    <row r="150" spans="1:13" s="72" customFormat="1" ht="40.5" customHeight="1" x14ac:dyDescent="0.25">
      <c r="A150" s="65">
        <v>3500</v>
      </c>
      <c r="B150" s="71" t="s">
        <v>210</v>
      </c>
      <c r="C150" s="64">
        <f>SUM(C151:C159)</f>
        <v>650000</v>
      </c>
      <c r="D150" s="64">
        <f t="shared" ref="D150:M150" si="55">SUM(D151:D159)</f>
        <v>193754.46</v>
      </c>
      <c r="E150" s="64">
        <v>843754.4600000002</v>
      </c>
      <c r="F150" s="64">
        <f t="shared" si="55"/>
        <v>843754.46</v>
      </c>
      <c r="G150" s="64">
        <f t="shared" si="55"/>
        <v>0</v>
      </c>
      <c r="H150" s="64">
        <f t="shared" si="55"/>
        <v>843754.46</v>
      </c>
      <c r="I150" s="64">
        <f t="shared" si="55"/>
        <v>0</v>
      </c>
      <c r="J150" s="64">
        <f t="shared" si="55"/>
        <v>0</v>
      </c>
      <c r="K150" s="64">
        <f t="shared" si="55"/>
        <v>843754.46</v>
      </c>
      <c r="L150" s="64">
        <f t="shared" si="55"/>
        <v>843754.46</v>
      </c>
      <c r="M150" s="64">
        <f t="shared" si="55"/>
        <v>0</v>
      </c>
    </row>
    <row r="151" spans="1:13" s="32" customFormat="1" ht="30" x14ac:dyDescent="0.25">
      <c r="A151" s="17">
        <v>35101</v>
      </c>
      <c r="B151" s="8" t="s">
        <v>75</v>
      </c>
      <c r="C151" s="44">
        <v>250000</v>
      </c>
      <c r="D151" s="44">
        <v>284449.57</v>
      </c>
      <c r="E151" s="44">
        <v>534449.57000000007</v>
      </c>
      <c r="F151" s="44">
        <v>534449.56999999995</v>
      </c>
      <c r="G151" s="44">
        <f t="shared" si="46"/>
        <v>0</v>
      </c>
      <c r="H151" s="44">
        <f t="shared" si="47"/>
        <v>534449.56999999995</v>
      </c>
      <c r="I151" s="44">
        <f t="shared" si="48"/>
        <v>0</v>
      </c>
      <c r="J151" s="44">
        <f t="shared" si="49"/>
        <v>0</v>
      </c>
      <c r="K151" s="44">
        <f t="shared" si="50"/>
        <v>534449.56999999995</v>
      </c>
      <c r="L151" s="44">
        <f t="shared" si="23"/>
        <v>534449.56999999995</v>
      </c>
      <c r="M151" s="44">
        <f t="shared" si="51"/>
        <v>0</v>
      </c>
    </row>
    <row r="152" spans="1:13" s="32" customFormat="1" ht="33" customHeight="1" x14ac:dyDescent="0.25">
      <c r="A152" s="17">
        <v>35201</v>
      </c>
      <c r="B152" s="8" t="s">
        <v>76</v>
      </c>
      <c r="C152" s="44">
        <v>100000</v>
      </c>
      <c r="D152" s="44">
        <v>-96029.2</v>
      </c>
      <c r="E152" s="44">
        <v>3970.8000000000029</v>
      </c>
      <c r="F152" s="44">
        <v>3970.8</v>
      </c>
      <c r="G152" s="44">
        <f t="shared" si="46"/>
        <v>0</v>
      </c>
      <c r="H152" s="44">
        <f t="shared" si="47"/>
        <v>3970.8</v>
      </c>
      <c r="I152" s="44">
        <f t="shared" si="48"/>
        <v>0</v>
      </c>
      <c r="J152" s="44">
        <f t="shared" si="49"/>
        <v>0</v>
      </c>
      <c r="K152" s="44">
        <f t="shared" si="50"/>
        <v>3970.8</v>
      </c>
      <c r="L152" s="44">
        <f t="shared" si="23"/>
        <v>3970.8</v>
      </c>
      <c r="M152" s="44">
        <f t="shared" si="51"/>
        <v>0</v>
      </c>
    </row>
    <row r="153" spans="1:13" s="32" customFormat="1" ht="30.75" customHeight="1" x14ac:dyDescent="0.25">
      <c r="A153" s="17">
        <v>35301</v>
      </c>
      <c r="B153" s="8" t="s">
        <v>77</v>
      </c>
      <c r="C153" s="44"/>
      <c r="D153" s="44">
        <f>300000-108448</f>
        <v>191552</v>
      </c>
      <c r="E153" s="44">
        <v>191552</v>
      </c>
      <c r="F153" s="44">
        <v>191552</v>
      </c>
      <c r="G153" s="44">
        <f t="shared" si="46"/>
        <v>0</v>
      </c>
      <c r="H153" s="44">
        <f t="shared" si="47"/>
        <v>191552</v>
      </c>
      <c r="I153" s="44">
        <f t="shared" si="48"/>
        <v>0</v>
      </c>
      <c r="J153" s="44">
        <f t="shared" si="49"/>
        <v>0</v>
      </c>
      <c r="K153" s="44">
        <f t="shared" si="50"/>
        <v>191552</v>
      </c>
      <c r="L153" s="44">
        <f t="shared" si="23"/>
        <v>191552</v>
      </c>
      <c r="M153" s="44">
        <f t="shared" si="51"/>
        <v>0</v>
      </c>
    </row>
    <row r="154" spans="1:13" s="32" customFormat="1" ht="30.75" customHeight="1" x14ac:dyDescent="0.25">
      <c r="A154" s="17">
        <v>35401</v>
      </c>
      <c r="B154" s="8" t="s">
        <v>177</v>
      </c>
      <c r="C154" s="44"/>
      <c r="D154" s="44">
        <v>0</v>
      </c>
      <c r="E154" s="44">
        <v>0</v>
      </c>
      <c r="F154" s="44">
        <v>0</v>
      </c>
      <c r="G154" s="44">
        <f t="shared" si="46"/>
        <v>0</v>
      </c>
      <c r="H154" s="44">
        <f t="shared" si="47"/>
        <v>0</v>
      </c>
      <c r="I154" s="44">
        <f t="shared" si="48"/>
        <v>0</v>
      </c>
      <c r="J154" s="44">
        <f t="shared" si="49"/>
        <v>0</v>
      </c>
      <c r="K154" s="44">
        <f t="shared" si="50"/>
        <v>0</v>
      </c>
      <c r="L154" s="44">
        <f t="shared" si="23"/>
        <v>0</v>
      </c>
      <c r="M154" s="44">
        <f t="shared" si="51"/>
        <v>0</v>
      </c>
    </row>
    <row r="155" spans="1:13" s="32" customFormat="1" ht="45" x14ac:dyDescent="0.25">
      <c r="A155" s="17">
        <v>35501</v>
      </c>
      <c r="B155" s="8" t="s">
        <v>78</v>
      </c>
      <c r="C155" s="44">
        <v>150000</v>
      </c>
      <c r="D155" s="44">
        <v>-130046.6</v>
      </c>
      <c r="E155" s="44">
        <v>19953.399999999994</v>
      </c>
      <c r="F155" s="44">
        <v>19953.400000000001</v>
      </c>
      <c r="G155" s="44">
        <f t="shared" si="46"/>
        <v>0</v>
      </c>
      <c r="H155" s="44">
        <f t="shared" si="47"/>
        <v>19953.400000000001</v>
      </c>
      <c r="I155" s="44">
        <f t="shared" si="48"/>
        <v>0</v>
      </c>
      <c r="J155" s="44">
        <f t="shared" si="49"/>
        <v>0</v>
      </c>
      <c r="K155" s="44">
        <f t="shared" si="50"/>
        <v>19953.400000000001</v>
      </c>
      <c r="L155" s="44">
        <f t="shared" si="23"/>
        <v>19953.400000000001</v>
      </c>
      <c r="M155" s="44">
        <f t="shared" si="51"/>
        <v>0</v>
      </c>
    </row>
    <row r="156" spans="1:13" s="32" customFormat="1" ht="30" x14ac:dyDescent="0.25">
      <c r="A156" s="17">
        <v>35701</v>
      </c>
      <c r="B156" s="8" t="s">
        <v>237</v>
      </c>
      <c r="C156" s="44">
        <v>0</v>
      </c>
      <c r="D156" s="44">
        <f>20000-20000</f>
        <v>0</v>
      </c>
      <c r="E156" s="44">
        <v>0</v>
      </c>
      <c r="F156" s="44">
        <v>0</v>
      </c>
      <c r="G156" s="44">
        <f t="shared" si="46"/>
        <v>0</v>
      </c>
      <c r="H156" s="44">
        <f t="shared" si="47"/>
        <v>0</v>
      </c>
      <c r="I156" s="44">
        <f t="shared" si="48"/>
        <v>0</v>
      </c>
      <c r="J156" s="44">
        <f t="shared" si="49"/>
        <v>0</v>
      </c>
      <c r="K156" s="44">
        <f t="shared" si="50"/>
        <v>0</v>
      </c>
      <c r="L156" s="44">
        <f t="shared" si="23"/>
        <v>0</v>
      </c>
      <c r="M156" s="44">
        <f t="shared" si="51"/>
        <v>0</v>
      </c>
    </row>
    <row r="157" spans="1:13" s="32" customFormat="1" ht="30" x14ac:dyDescent="0.25">
      <c r="A157" s="17">
        <v>35703</v>
      </c>
      <c r="B157" s="8" t="s">
        <v>79</v>
      </c>
      <c r="C157" s="44">
        <v>0</v>
      </c>
      <c r="D157" s="44">
        <v>0</v>
      </c>
      <c r="E157" s="44">
        <v>0</v>
      </c>
      <c r="F157" s="44">
        <v>0</v>
      </c>
      <c r="G157" s="44">
        <f t="shared" ref="G157" si="56">E157-F157</f>
        <v>0</v>
      </c>
      <c r="H157" s="44">
        <f t="shared" ref="H157" si="57">F157</f>
        <v>0</v>
      </c>
      <c r="I157" s="44">
        <f t="shared" ref="I157" si="58">F157-H157</f>
        <v>0</v>
      </c>
      <c r="J157" s="44">
        <f t="shared" ref="J157" si="59">E157-H157</f>
        <v>0</v>
      </c>
      <c r="K157" s="44">
        <f t="shared" ref="K157" si="60">F157</f>
        <v>0</v>
      </c>
      <c r="L157" s="44">
        <f t="shared" ref="L157" si="61">K157</f>
        <v>0</v>
      </c>
      <c r="M157" s="44">
        <f t="shared" ref="M157" si="62">H157-L157</f>
        <v>0</v>
      </c>
    </row>
    <row r="158" spans="1:13" s="32" customFormat="1" ht="21" customHeight="1" x14ac:dyDescent="0.25">
      <c r="A158" s="17">
        <v>35801</v>
      </c>
      <c r="B158" s="8" t="s">
        <v>93</v>
      </c>
      <c r="C158" s="44">
        <v>0</v>
      </c>
      <c r="D158" s="44">
        <v>0</v>
      </c>
      <c r="E158" s="44">
        <v>0</v>
      </c>
      <c r="F158" s="44">
        <v>0</v>
      </c>
      <c r="G158" s="44">
        <f t="shared" si="46"/>
        <v>0</v>
      </c>
      <c r="H158" s="44">
        <f t="shared" si="47"/>
        <v>0</v>
      </c>
      <c r="I158" s="44">
        <f t="shared" si="48"/>
        <v>0</v>
      </c>
      <c r="J158" s="44">
        <f t="shared" si="49"/>
        <v>0</v>
      </c>
      <c r="K158" s="44">
        <f t="shared" si="50"/>
        <v>0</v>
      </c>
      <c r="L158" s="44">
        <f t="shared" si="23"/>
        <v>0</v>
      </c>
      <c r="M158" s="44">
        <f t="shared" si="51"/>
        <v>0</v>
      </c>
    </row>
    <row r="159" spans="1:13" s="32" customFormat="1" ht="21" customHeight="1" x14ac:dyDescent="0.25">
      <c r="A159" s="17">
        <v>35901</v>
      </c>
      <c r="B159" s="8" t="s">
        <v>80</v>
      </c>
      <c r="C159" s="44">
        <v>150000</v>
      </c>
      <c r="D159" s="44">
        <v>-56171.31</v>
      </c>
      <c r="E159" s="44">
        <v>93828.69</v>
      </c>
      <c r="F159" s="44">
        <v>93828.69</v>
      </c>
      <c r="G159" s="44">
        <f t="shared" si="46"/>
        <v>0</v>
      </c>
      <c r="H159" s="44">
        <f t="shared" si="47"/>
        <v>93828.69</v>
      </c>
      <c r="I159" s="44">
        <f t="shared" si="48"/>
        <v>0</v>
      </c>
      <c r="J159" s="44">
        <f t="shared" si="49"/>
        <v>0</v>
      </c>
      <c r="K159" s="44">
        <f t="shared" si="50"/>
        <v>93828.69</v>
      </c>
      <c r="L159" s="44">
        <f t="shared" si="23"/>
        <v>93828.69</v>
      </c>
      <c r="M159" s="44">
        <f t="shared" si="51"/>
        <v>0</v>
      </c>
    </row>
    <row r="160" spans="1:13" s="72" customFormat="1" ht="36.75" customHeight="1" x14ac:dyDescent="0.25">
      <c r="A160" s="65">
        <v>3600</v>
      </c>
      <c r="B160" s="71" t="s">
        <v>211</v>
      </c>
      <c r="C160" s="64">
        <f>SUM(C161:C161)</f>
        <v>50000</v>
      </c>
      <c r="D160" s="64">
        <f>SUM(D161:D161)</f>
        <v>-50000</v>
      </c>
      <c r="E160" s="64">
        <v>0</v>
      </c>
      <c r="F160" s="64">
        <f t="shared" ref="F160:M160" si="63">SUM(F161)</f>
        <v>0</v>
      </c>
      <c r="G160" s="64">
        <f t="shared" si="63"/>
        <v>0</v>
      </c>
      <c r="H160" s="64">
        <f t="shared" si="63"/>
        <v>0</v>
      </c>
      <c r="I160" s="64">
        <f t="shared" si="63"/>
        <v>0</v>
      </c>
      <c r="J160" s="64">
        <f t="shared" si="63"/>
        <v>0</v>
      </c>
      <c r="K160" s="64">
        <f t="shared" si="63"/>
        <v>0</v>
      </c>
      <c r="L160" s="64">
        <f t="shared" si="63"/>
        <v>0</v>
      </c>
      <c r="M160" s="64">
        <f t="shared" si="63"/>
        <v>0</v>
      </c>
    </row>
    <row r="161" spans="1:13" s="32" customFormat="1" ht="30" x14ac:dyDescent="0.25">
      <c r="A161" s="17">
        <v>36101</v>
      </c>
      <c r="B161" s="8" t="s">
        <v>159</v>
      </c>
      <c r="C161" s="44">
        <v>50000</v>
      </c>
      <c r="D161" s="44">
        <v>-50000</v>
      </c>
      <c r="E161" s="44">
        <v>0</v>
      </c>
      <c r="F161" s="44">
        <v>0</v>
      </c>
      <c r="G161" s="44">
        <f t="shared" si="46"/>
        <v>0</v>
      </c>
      <c r="H161" s="44">
        <f t="shared" si="47"/>
        <v>0</v>
      </c>
      <c r="I161" s="44">
        <f t="shared" si="48"/>
        <v>0</v>
      </c>
      <c r="J161" s="44">
        <f t="shared" si="49"/>
        <v>0</v>
      </c>
      <c r="K161" s="44">
        <f t="shared" si="50"/>
        <v>0</v>
      </c>
      <c r="L161" s="44">
        <f t="shared" si="23"/>
        <v>0</v>
      </c>
      <c r="M161" s="44">
        <f t="shared" si="51"/>
        <v>0</v>
      </c>
    </row>
    <row r="162" spans="1:13" s="72" customFormat="1" ht="22.5" customHeight="1" x14ac:dyDescent="0.25">
      <c r="A162" s="65">
        <v>3700</v>
      </c>
      <c r="B162" s="71" t="s">
        <v>212</v>
      </c>
      <c r="C162" s="64">
        <f>SUM(C163:C166)</f>
        <v>1000000</v>
      </c>
      <c r="D162" s="64">
        <f t="shared" ref="D162:M162" si="64">SUM(D163:D166)</f>
        <v>-253814.52999999997</v>
      </c>
      <c r="E162" s="64">
        <v>746185.47</v>
      </c>
      <c r="F162" s="64">
        <f t="shared" si="64"/>
        <v>746185.47</v>
      </c>
      <c r="G162" s="64">
        <f t="shared" si="64"/>
        <v>2.0918378140777349E-11</v>
      </c>
      <c r="H162" s="64">
        <f t="shared" si="64"/>
        <v>746185.47</v>
      </c>
      <c r="I162" s="64">
        <f t="shared" si="64"/>
        <v>0</v>
      </c>
      <c r="J162" s="64">
        <f t="shared" si="64"/>
        <v>2.0918378140777349E-11</v>
      </c>
      <c r="K162" s="64">
        <f t="shared" si="64"/>
        <v>746185.47</v>
      </c>
      <c r="L162" s="64">
        <f t="shared" si="64"/>
        <v>746185.47</v>
      </c>
      <c r="M162" s="64">
        <f t="shared" si="64"/>
        <v>0</v>
      </c>
    </row>
    <row r="163" spans="1:13" s="32" customFormat="1" ht="45" x14ac:dyDescent="0.25">
      <c r="A163" s="17">
        <v>37201</v>
      </c>
      <c r="B163" s="8" t="s">
        <v>82</v>
      </c>
      <c r="C163" s="44">
        <v>150000</v>
      </c>
      <c r="D163" s="44">
        <f>-70000-73443.79</f>
        <v>-143443.78999999998</v>
      </c>
      <c r="E163" s="44">
        <v>6556.210000000021</v>
      </c>
      <c r="F163" s="44">
        <v>6556.21</v>
      </c>
      <c r="G163" s="44">
        <f t="shared" si="46"/>
        <v>2.0918378140777349E-11</v>
      </c>
      <c r="H163" s="44">
        <f t="shared" si="47"/>
        <v>6556.21</v>
      </c>
      <c r="I163" s="44">
        <f t="shared" si="48"/>
        <v>0</v>
      </c>
      <c r="J163" s="44">
        <f t="shared" si="49"/>
        <v>2.0918378140777349E-11</v>
      </c>
      <c r="K163" s="44">
        <f t="shared" si="50"/>
        <v>6556.21</v>
      </c>
      <c r="L163" s="44">
        <f t="shared" si="23"/>
        <v>6556.21</v>
      </c>
      <c r="M163" s="44">
        <f t="shared" si="51"/>
        <v>0</v>
      </c>
    </row>
    <row r="164" spans="1:13" s="32" customFormat="1" ht="21" customHeight="1" x14ac:dyDescent="0.25">
      <c r="A164" s="17">
        <v>37208</v>
      </c>
      <c r="B164" s="8" t="s">
        <v>239</v>
      </c>
      <c r="C164" s="44">
        <v>0</v>
      </c>
      <c r="D164" s="44">
        <v>6987.13</v>
      </c>
      <c r="E164" s="44">
        <v>6987.13</v>
      </c>
      <c r="F164" s="44">
        <v>6987.13</v>
      </c>
      <c r="G164" s="44">
        <f t="shared" ref="G164" si="65">E164-F164</f>
        <v>0</v>
      </c>
      <c r="H164" s="44">
        <f t="shared" ref="H164" si="66">F164</f>
        <v>6987.13</v>
      </c>
      <c r="I164" s="44">
        <f t="shared" ref="I164" si="67">F164-H164</f>
        <v>0</v>
      </c>
      <c r="J164" s="44">
        <f t="shared" ref="J164" si="68">E164-H164</f>
        <v>0</v>
      </c>
      <c r="K164" s="44">
        <f t="shared" ref="K164" si="69">F164</f>
        <v>6987.13</v>
      </c>
      <c r="L164" s="44">
        <f t="shared" ref="L164" si="70">K164</f>
        <v>6987.13</v>
      </c>
      <c r="M164" s="44">
        <f t="shared" ref="M164" si="71">H164-L164</f>
        <v>0</v>
      </c>
    </row>
    <row r="165" spans="1:13" s="32" customFormat="1" ht="21" customHeight="1" x14ac:dyDescent="0.25">
      <c r="A165" s="17">
        <v>37209</v>
      </c>
      <c r="B165" s="8" t="s">
        <v>240</v>
      </c>
      <c r="C165" s="44">
        <v>0</v>
      </c>
      <c r="D165" s="44">
        <v>123618.88</v>
      </c>
      <c r="E165" s="44">
        <v>123618.88</v>
      </c>
      <c r="F165" s="44">
        <v>123618.88</v>
      </c>
      <c r="G165" s="44">
        <f t="shared" ref="G165" si="72">E165-F165</f>
        <v>0</v>
      </c>
      <c r="H165" s="44">
        <f t="shared" ref="H165" si="73">F165</f>
        <v>123618.88</v>
      </c>
      <c r="I165" s="44">
        <f t="shared" ref="I165" si="74">F165-H165</f>
        <v>0</v>
      </c>
      <c r="J165" s="44">
        <f t="shared" ref="J165" si="75">E165-H165</f>
        <v>0</v>
      </c>
      <c r="K165" s="44">
        <f t="shared" ref="K165" si="76">F165</f>
        <v>123618.88</v>
      </c>
      <c r="L165" s="44">
        <f t="shared" ref="L165" si="77">K165</f>
        <v>123618.88</v>
      </c>
      <c r="M165" s="44">
        <f t="shared" ref="M165" si="78">H165-L165</f>
        <v>0</v>
      </c>
    </row>
    <row r="166" spans="1:13" s="32" customFormat="1" ht="21" customHeight="1" x14ac:dyDescent="0.25">
      <c r="A166" s="17">
        <v>37501</v>
      </c>
      <c r="B166" s="8" t="s">
        <v>142</v>
      </c>
      <c r="C166" s="44">
        <v>850000</v>
      </c>
      <c r="D166" s="44">
        <f>-500000+259023.25</f>
        <v>-240976.75</v>
      </c>
      <c r="E166" s="44">
        <v>609023.25</v>
      </c>
      <c r="F166" s="44">
        <v>609023.25</v>
      </c>
      <c r="G166" s="44">
        <f t="shared" si="46"/>
        <v>0</v>
      </c>
      <c r="H166" s="44">
        <f t="shared" si="47"/>
        <v>609023.25</v>
      </c>
      <c r="I166" s="44">
        <f t="shared" si="48"/>
        <v>0</v>
      </c>
      <c r="J166" s="44">
        <f t="shared" si="49"/>
        <v>0</v>
      </c>
      <c r="K166" s="44">
        <f t="shared" si="50"/>
        <v>609023.25</v>
      </c>
      <c r="L166" s="44">
        <f t="shared" si="23"/>
        <v>609023.25</v>
      </c>
      <c r="M166" s="44">
        <f t="shared" si="51"/>
        <v>0</v>
      </c>
    </row>
    <row r="167" spans="1:13" s="72" customFormat="1" ht="23.25" customHeight="1" x14ac:dyDescent="0.25">
      <c r="A167" s="65">
        <v>3800</v>
      </c>
      <c r="B167" s="71" t="s">
        <v>213</v>
      </c>
      <c r="C167" s="64">
        <f>SUM(C168:C171)</f>
        <v>150000</v>
      </c>
      <c r="D167" s="64">
        <f t="shared" ref="D167:M167" si="79">SUM(D168:D171)</f>
        <v>231676.79999999999</v>
      </c>
      <c r="E167" s="64">
        <v>381676.79999999999</v>
      </c>
      <c r="F167" s="64">
        <f t="shared" si="79"/>
        <v>381676.79999999999</v>
      </c>
      <c r="G167" s="64">
        <f t="shared" si="79"/>
        <v>0</v>
      </c>
      <c r="H167" s="64">
        <f t="shared" si="79"/>
        <v>381676.79999999999</v>
      </c>
      <c r="I167" s="64">
        <f t="shared" si="79"/>
        <v>0</v>
      </c>
      <c r="J167" s="64">
        <f t="shared" si="79"/>
        <v>0</v>
      </c>
      <c r="K167" s="64">
        <f t="shared" si="79"/>
        <v>381676.79999999999</v>
      </c>
      <c r="L167" s="64">
        <f t="shared" si="79"/>
        <v>381676.79999999999</v>
      </c>
      <c r="M167" s="64">
        <f t="shared" si="79"/>
        <v>0</v>
      </c>
    </row>
    <row r="168" spans="1:13" s="32" customFormat="1" ht="21" customHeight="1" x14ac:dyDescent="0.25">
      <c r="A168" s="17">
        <v>38201</v>
      </c>
      <c r="B168" s="8" t="s">
        <v>83</v>
      </c>
      <c r="C168" s="44"/>
      <c r="D168" s="44">
        <v>0</v>
      </c>
      <c r="E168" s="44">
        <v>0</v>
      </c>
      <c r="F168" s="44">
        <v>0</v>
      </c>
      <c r="G168" s="44">
        <f t="shared" si="46"/>
        <v>0</v>
      </c>
      <c r="H168" s="44">
        <f t="shared" si="47"/>
        <v>0</v>
      </c>
      <c r="I168" s="44">
        <f t="shared" si="48"/>
        <v>0</v>
      </c>
      <c r="J168" s="44">
        <f t="shared" si="49"/>
        <v>0</v>
      </c>
      <c r="K168" s="44">
        <f t="shared" si="50"/>
        <v>0</v>
      </c>
      <c r="L168" s="44">
        <f t="shared" si="23"/>
        <v>0</v>
      </c>
      <c r="M168" s="44">
        <f t="shared" si="51"/>
        <v>0</v>
      </c>
    </row>
    <row r="169" spans="1:13" s="32" customFormat="1" ht="21" customHeight="1" x14ac:dyDescent="0.25">
      <c r="A169" s="17">
        <v>38301</v>
      </c>
      <c r="B169" s="8" t="s">
        <v>84</v>
      </c>
      <c r="C169" s="44">
        <v>150000</v>
      </c>
      <c r="D169" s="44">
        <v>144802</v>
      </c>
      <c r="E169" s="44">
        <v>294802</v>
      </c>
      <c r="F169" s="44">
        <v>294802</v>
      </c>
      <c r="G169" s="44">
        <f t="shared" si="46"/>
        <v>0</v>
      </c>
      <c r="H169" s="44">
        <f t="shared" si="47"/>
        <v>294802</v>
      </c>
      <c r="I169" s="44">
        <f t="shared" si="48"/>
        <v>0</v>
      </c>
      <c r="J169" s="44">
        <f t="shared" si="49"/>
        <v>0</v>
      </c>
      <c r="K169" s="44">
        <f t="shared" si="50"/>
        <v>294802</v>
      </c>
      <c r="L169" s="44">
        <f t="shared" ref="L169:L175" si="80">K169</f>
        <v>294802</v>
      </c>
      <c r="M169" s="44">
        <f t="shared" si="51"/>
        <v>0</v>
      </c>
    </row>
    <row r="170" spans="1:13" s="32" customFormat="1" ht="21" customHeight="1" x14ac:dyDescent="0.25">
      <c r="A170" s="17">
        <v>38401</v>
      </c>
      <c r="B170" s="8" t="s">
        <v>172</v>
      </c>
      <c r="C170" s="44"/>
      <c r="D170" s="44">
        <f>13444.4+73430.4</f>
        <v>86874.799999999988</v>
      </c>
      <c r="E170" s="44">
        <v>86874.799999999988</v>
      </c>
      <c r="F170" s="44">
        <v>86874.8</v>
      </c>
      <c r="G170" s="44">
        <f t="shared" si="46"/>
        <v>0</v>
      </c>
      <c r="H170" s="44">
        <f t="shared" si="47"/>
        <v>86874.8</v>
      </c>
      <c r="I170" s="44">
        <f t="shared" si="48"/>
        <v>0</v>
      </c>
      <c r="J170" s="44">
        <f t="shared" si="49"/>
        <v>0</v>
      </c>
      <c r="K170" s="44">
        <f t="shared" si="50"/>
        <v>86874.8</v>
      </c>
      <c r="L170" s="44">
        <f t="shared" si="80"/>
        <v>86874.8</v>
      </c>
      <c r="M170" s="44">
        <f t="shared" si="51"/>
        <v>0</v>
      </c>
    </row>
    <row r="171" spans="1:13" s="32" customFormat="1" ht="21" customHeight="1" x14ac:dyDescent="0.25">
      <c r="A171" s="17">
        <v>38501</v>
      </c>
      <c r="B171" s="8" t="s">
        <v>85</v>
      </c>
      <c r="C171" s="44">
        <v>0</v>
      </c>
      <c r="D171" s="44">
        <v>0</v>
      </c>
      <c r="E171" s="44">
        <v>0</v>
      </c>
      <c r="F171" s="44">
        <v>0</v>
      </c>
      <c r="G171" s="44">
        <f t="shared" si="46"/>
        <v>0</v>
      </c>
      <c r="H171" s="44">
        <f t="shared" si="47"/>
        <v>0</v>
      </c>
      <c r="I171" s="44">
        <f t="shared" si="48"/>
        <v>0</v>
      </c>
      <c r="J171" s="44">
        <f t="shared" si="49"/>
        <v>0</v>
      </c>
      <c r="K171" s="44">
        <f t="shared" si="50"/>
        <v>0</v>
      </c>
      <c r="L171" s="44">
        <f t="shared" si="80"/>
        <v>0</v>
      </c>
      <c r="M171" s="44">
        <f t="shared" si="51"/>
        <v>0</v>
      </c>
    </row>
    <row r="172" spans="1:13" s="72" customFormat="1" ht="22.5" customHeight="1" x14ac:dyDescent="0.25">
      <c r="A172" s="65">
        <v>3900</v>
      </c>
      <c r="B172" s="71" t="s">
        <v>214</v>
      </c>
      <c r="C172" s="64">
        <f t="shared" ref="C172:M172" si="81">SUM(C173:C177)</f>
        <v>24176904</v>
      </c>
      <c r="D172" s="64">
        <f t="shared" si="81"/>
        <v>-8542845.4400000013</v>
      </c>
      <c r="E172" s="64">
        <f t="shared" si="81"/>
        <v>15634058.559999999</v>
      </c>
      <c r="F172" s="64">
        <f t="shared" si="81"/>
        <v>40185500.369999997</v>
      </c>
      <c r="G172" s="64">
        <f t="shared" si="81"/>
        <v>-24551441.809999999</v>
      </c>
      <c r="H172" s="64">
        <f t="shared" si="81"/>
        <v>40185500.369999997</v>
      </c>
      <c r="I172" s="64">
        <f t="shared" si="81"/>
        <v>0</v>
      </c>
      <c r="J172" s="64">
        <f t="shared" si="81"/>
        <v>-24551441.809999999</v>
      </c>
      <c r="K172" s="64">
        <f t="shared" si="81"/>
        <v>40185500.369999997</v>
      </c>
      <c r="L172" s="64">
        <f t="shared" si="81"/>
        <v>2860325.8400000008</v>
      </c>
      <c r="M172" s="64">
        <f t="shared" si="81"/>
        <v>37325174.530000001</v>
      </c>
    </row>
    <row r="173" spans="1:13" s="32" customFormat="1" ht="21" customHeight="1" x14ac:dyDescent="0.25">
      <c r="A173" s="17">
        <v>39203</v>
      </c>
      <c r="B173" s="8" t="s">
        <v>86</v>
      </c>
      <c r="C173" s="44">
        <v>24176904</v>
      </c>
      <c r="D173" s="44">
        <f>-24176904+13450467.66-1751236.34</f>
        <v>-12477672.68</v>
      </c>
      <c r="E173" s="44">
        <v>11699232.32</v>
      </c>
      <c r="F173" s="44">
        <v>11699232.32</v>
      </c>
      <c r="G173" s="44">
        <f t="shared" si="46"/>
        <v>0</v>
      </c>
      <c r="H173" s="44">
        <f t="shared" si="47"/>
        <v>11699232.32</v>
      </c>
      <c r="I173" s="44">
        <f t="shared" si="48"/>
        <v>0</v>
      </c>
      <c r="J173" s="44">
        <f t="shared" si="49"/>
        <v>0</v>
      </c>
      <c r="K173" s="44">
        <f t="shared" si="50"/>
        <v>11699232.32</v>
      </c>
      <c r="L173" s="44">
        <f>K173-9001014.6</f>
        <v>2698217.7200000007</v>
      </c>
      <c r="M173" s="44">
        <f t="shared" si="51"/>
        <v>9001014.5999999996</v>
      </c>
    </row>
    <row r="174" spans="1:13" s="32" customFormat="1" ht="21" customHeight="1" x14ac:dyDescent="0.25">
      <c r="A174" s="17">
        <v>39206</v>
      </c>
      <c r="B174" s="8" t="s">
        <v>86</v>
      </c>
      <c r="C174" s="44">
        <v>0</v>
      </c>
      <c r="D174" s="44">
        <f>17176904.9-1657486.95-13335826.15-2021482.68</f>
        <v>162109.11999999895</v>
      </c>
      <c r="E174" s="44">
        <v>162108.12</v>
      </c>
      <c r="F174" s="44">
        <v>162108.12</v>
      </c>
      <c r="G174" s="44">
        <f t="shared" ref="G174" si="82">E174-F174</f>
        <v>0</v>
      </c>
      <c r="H174" s="44">
        <f t="shared" ref="H174" si="83">F174</f>
        <v>162108.12</v>
      </c>
      <c r="I174" s="44">
        <f t="shared" ref="I174" si="84">F174-H174</f>
        <v>0</v>
      </c>
      <c r="J174" s="44">
        <f t="shared" ref="J174" si="85">E174-H174</f>
        <v>0</v>
      </c>
      <c r="K174" s="44">
        <f t="shared" ref="K174" si="86">F174</f>
        <v>162108.12</v>
      </c>
      <c r="L174" s="44">
        <f t="shared" ref="L174" si="87">K174</f>
        <v>162108.12</v>
      </c>
      <c r="M174" s="44">
        <f t="shared" ref="M174" si="88">H174-L174</f>
        <v>0</v>
      </c>
    </row>
    <row r="175" spans="1:13" s="32" customFormat="1" ht="21" customHeight="1" x14ac:dyDescent="0.25">
      <c r="A175" s="17">
        <v>39501</v>
      </c>
      <c r="B175" s="8" t="s">
        <v>168</v>
      </c>
      <c r="C175" s="44">
        <v>0</v>
      </c>
      <c r="D175" s="44">
        <v>0</v>
      </c>
      <c r="E175" s="44">
        <v>0</v>
      </c>
      <c r="F175" s="44">
        <v>0</v>
      </c>
      <c r="G175" s="44">
        <f t="shared" si="46"/>
        <v>0</v>
      </c>
      <c r="H175" s="44">
        <f t="shared" si="47"/>
        <v>0</v>
      </c>
      <c r="I175" s="44">
        <f t="shared" si="48"/>
        <v>0</v>
      </c>
      <c r="J175" s="44">
        <f t="shared" si="49"/>
        <v>0</v>
      </c>
      <c r="K175" s="44">
        <f t="shared" si="50"/>
        <v>0</v>
      </c>
      <c r="L175" s="44">
        <f t="shared" si="80"/>
        <v>0</v>
      </c>
      <c r="M175" s="44">
        <f t="shared" si="51"/>
        <v>0</v>
      </c>
    </row>
    <row r="176" spans="1:13" s="32" customFormat="1" ht="21" customHeight="1" x14ac:dyDescent="0.25">
      <c r="A176" s="17">
        <v>39602</v>
      </c>
      <c r="B176" s="8" t="s">
        <v>222</v>
      </c>
      <c r="C176" s="44">
        <v>0</v>
      </c>
      <c r="D176" s="44">
        <v>0</v>
      </c>
      <c r="E176" s="44">
        <v>0</v>
      </c>
      <c r="F176" s="44">
        <v>0</v>
      </c>
      <c r="G176" s="44">
        <f>E176-F176</f>
        <v>0</v>
      </c>
      <c r="H176" s="44">
        <f>F176</f>
        <v>0</v>
      </c>
      <c r="I176" s="44">
        <f>F176-H176</f>
        <v>0</v>
      </c>
      <c r="J176" s="44">
        <f>E176-H176</f>
        <v>0</v>
      </c>
      <c r="K176" s="44">
        <f>F176</f>
        <v>0</v>
      </c>
      <c r="L176" s="44">
        <f>K176</f>
        <v>0</v>
      </c>
      <c r="M176" s="44">
        <f>H176-L176</f>
        <v>0</v>
      </c>
    </row>
    <row r="177" spans="1:13" s="32" customFormat="1" ht="21" customHeight="1" x14ac:dyDescent="0.25">
      <c r="A177" s="17">
        <v>39801</v>
      </c>
      <c r="B177" s="8" t="s">
        <v>252</v>
      </c>
      <c r="C177" s="44">
        <v>0</v>
      </c>
      <c r="D177" s="44">
        <v>3772718.12</v>
      </c>
      <c r="E177" s="44">
        <v>3772718.12</v>
      </c>
      <c r="F177" s="44">
        <v>28324159.93</v>
      </c>
      <c r="G177" s="44">
        <f t="shared" ref="G177" si="89">E177-F177</f>
        <v>-24551441.809999999</v>
      </c>
      <c r="H177" s="44">
        <f t="shared" ref="H177" si="90">F177</f>
        <v>28324159.93</v>
      </c>
      <c r="I177" s="44">
        <f t="shared" ref="I177" si="91">F177-H177</f>
        <v>0</v>
      </c>
      <c r="J177" s="44">
        <f t="shared" ref="J177" si="92">E177-H177</f>
        <v>-24551441.809999999</v>
      </c>
      <c r="K177" s="44">
        <f t="shared" ref="K177" si="93">F177</f>
        <v>28324159.93</v>
      </c>
      <c r="L177" s="44"/>
      <c r="M177" s="44">
        <v>28324159.93</v>
      </c>
    </row>
    <row r="178" spans="1:13" s="32" customFormat="1" ht="17.100000000000001" customHeight="1" thickBot="1" x14ac:dyDescent="0.3">
      <c r="A178" s="74"/>
      <c r="B178" s="77"/>
      <c r="C178" s="46" t="s">
        <v>1</v>
      </c>
      <c r="D178" s="46"/>
      <c r="E178" s="46"/>
      <c r="F178" s="46"/>
      <c r="G178" s="46"/>
      <c r="H178" s="46"/>
      <c r="I178" s="46"/>
      <c r="J178" s="46"/>
      <c r="K178" s="46"/>
      <c r="L178" s="46"/>
      <c r="M178" s="46"/>
    </row>
    <row r="179" spans="1:13" s="32" customFormat="1" ht="21.95" customHeight="1" thickBot="1" x14ac:dyDescent="0.3">
      <c r="A179" s="16"/>
      <c r="B179" s="78" t="s">
        <v>100</v>
      </c>
      <c r="C179" s="30">
        <f>C123+C129+C133+C144+C150+C160+C162+C167+C172</f>
        <v>30701904</v>
      </c>
      <c r="D179" s="30">
        <f>D123+D129+D133+D144+D150+D160+D162+D167+D172</f>
        <v>-10072757.000000002</v>
      </c>
      <c r="E179" s="30">
        <v>20629147</v>
      </c>
      <c r="F179" s="30">
        <f t="shared" ref="F179:M179" si="94">F123+F129+F133+F144+F150+F160+F162+F167+F172</f>
        <v>45180588.809999995</v>
      </c>
      <c r="G179" s="30">
        <f t="shared" si="94"/>
        <v>-24551441.809999999</v>
      </c>
      <c r="H179" s="30">
        <f t="shared" si="94"/>
        <v>45180588.809999995</v>
      </c>
      <c r="I179" s="30">
        <f t="shared" si="94"/>
        <v>0</v>
      </c>
      <c r="J179" s="30">
        <f t="shared" si="94"/>
        <v>-24551441.809999999</v>
      </c>
      <c r="K179" s="30">
        <f t="shared" si="94"/>
        <v>45180588.809999995</v>
      </c>
      <c r="L179" s="30">
        <f t="shared" si="94"/>
        <v>7855414.2800000012</v>
      </c>
      <c r="M179" s="30">
        <f t="shared" si="94"/>
        <v>37325174.530000001</v>
      </c>
    </row>
    <row r="180" spans="1:13" s="32" customFormat="1" ht="18" customHeight="1" x14ac:dyDescent="0.25">
      <c r="A180" s="79"/>
      <c r="B180" s="81"/>
      <c r="C180" s="48"/>
      <c r="D180" s="48"/>
      <c r="E180" s="48"/>
      <c r="F180" s="48"/>
      <c r="G180" s="48"/>
      <c r="H180" s="48"/>
      <c r="I180" s="48"/>
      <c r="J180" s="48"/>
      <c r="K180" s="48"/>
      <c r="L180" s="44"/>
      <c r="M180" s="48"/>
    </row>
    <row r="181" spans="1:13" s="32" customFormat="1" ht="22.5" customHeight="1" x14ac:dyDescent="0.25">
      <c r="A181" s="65">
        <v>4000</v>
      </c>
      <c r="B181" s="70" t="s">
        <v>19</v>
      </c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</row>
    <row r="182" spans="1:13" s="72" customFormat="1" ht="20.100000000000001" customHeight="1" x14ac:dyDescent="0.25">
      <c r="A182" s="65">
        <v>4400</v>
      </c>
      <c r="B182" s="70" t="s">
        <v>215</v>
      </c>
      <c r="C182" s="64">
        <f>SUM(C183:C185)</f>
        <v>0</v>
      </c>
      <c r="D182" s="64">
        <f t="shared" ref="D182:M182" si="95">SUM(D183:D185)</f>
        <v>0</v>
      </c>
      <c r="E182" s="64">
        <v>0</v>
      </c>
      <c r="F182" s="64">
        <f t="shared" si="95"/>
        <v>0</v>
      </c>
      <c r="G182" s="64">
        <f t="shared" si="95"/>
        <v>0</v>
      </c>
      <c r="H182" s="64">
        <f t="shared" si="95"/>
        <v>0</v>
      </c>
      <c r="I182" s="64">
        <f t="shared" si="95"/>
        <v>0</v>
      </c>
      <c r="J182" s="64">
        <f t="shared" si="95"/>
        <v>0</v>
      </c>
      <c r="K182" s="64">
        <f t="shared" si="95"/>
        <v>0</v>
      </c>
      <c r="L182" s="64">
        <f t="shared" si="95"/>
        <v>0</v>
      </c>
      <c r="M182" s="64">
        <f t="shared" si="95"/>
        <v>0</v>
      </c>
    </row>
    <row r="183" spans="1:13" s="32" customFormat="1" ht="24.75" customHeight="1" x14ac:dyDescent="0.25">
      <c r="A183" s="17">
        <v>44101</v>
      </c>
      <c r="B183" s="82" t="s">
        <v>129</v>
      </c>
      <c r="C183" s="44"/>
      <c r="D183" s="44">
        <v>0</v>
      </c>
      <c r="E183" s="44">
        <v>0</v>
      </c>
      <c r="F183" s="44">
        <v>0</v>
      </c>
      <c r="G183" s="44">
        <f>E183-F183</f>
        <v>0</v>
      </c>
      <c r="H183" s="44">
        <f>F183</f>
        <v>0</v>
      </c>
      <c r="I183" s="44">
        <f>F183-H183</f>
        <v>0</v>
      </c>
      <c r="J183" s="44">
        <f>E183-H183</f>
        <v>0</v>
      </c>
      <c r="K183" s="44">
        <f>F183</f>
        <v>0</v>
      </c>
      <c r="L183" s="44">
        <f t="shared" ref="L183:L208" si="96">K183</f>
        <v>0</v>
      </c>
      <c r="M183" s="44">
        <f>H183-L183</f>
        <v>0</v>
      </c>
    </row>
    <row r="184" spans="1:13" s="32" customFormat="1" ht="18.95" customHeight="1" x14ac:dyDescent="0.25">
      <c r="A184" s="25">
        <v>44102</v>
      </c>
      <c r="B184" s="83" t="s">
        <v>160</v>
      </c>
      <c r="C184" s="50"/>
      <c r="D184" s="50">
        <v>0</v>
      </c>
      <c r="E184" s="44">
        <v>0</v>
      </c>
      <c r="F184" s="50">
        <v>0</v>
      </c>
      <c r="G184" s="44">
        <f t="shared" ref="G184:G185" si="97">E184-F184</f>
        <v>0</v>
      </c>
      <c r="H184" s="44">
        <f>F184</f>
        <v>0</v>
      </c>
      <c r="I184" s="44">
        <f t="shared" ref="I184:I185" si="98">F184-H184</f>
        <v>0</v>
      </c>
      <c r="J184" s="44">
        <f t="shared" ref="J184:J185" si="99">E184-H184</f>
        <v>0</v>
      </c>
      <c r="K184" s="44">
        <f>F184</f>
        <v>0</v>
      </c>
      <c r="L184" s="44">
        <f t="shared" si="96"/>
        <v>0</v>
      </c>
      <c r="M184" s="44">
        <f>H184-L184</f>
        <v>0</v>
      </c>
    </row>
    <row r="185" spans="1:13" s="32" customFormat="1" ht="33.75" customHeight="1" x14ac:dyDescent="0.25">
      <c r="A185" s="17">
        <v>44103</v>
      </c>
      <c r="B185" s="8" t="s">
        <v>132</v>
      </c>
      <c r="C185" s="44"/>
      <c r="D185" s="44">
        <v>0</v>
      </c>
      <c r="E185" s="44">
        <v>0</v>
      </c>
      <c r="F185" s="44">
        <v>0</v>
      </c>
      <c r="G185" s="44">
        <f t="shared" si="97"/>
        <v>0</v>
      </c>
      <c r="H185" s="44">
        <f t="shared" ref="H185" si="100">F185</f>
        <v>0</v>
      </c>
      <c r="I185" s="44">
        <f t="shared" si="98"/>
        <v>0</v>
      </c>
      <c r="J185" s="44">
        <f t="shared" si="99"/>
        <v>0</v>
      </c>
      <c r="K185" s="44">
        <f t="shared" ref="K185" si="101">F185</f>
        <v>0</v>
      </c>
      <c r="L185" s="44">
        <f t="shared" si="96"/>
        <v>0</v>
      </c>
      <c r="M185" s="44">
        <f t="shared" ref="M185" si="102">H185-L185</f>
        <v>0</v>
      </c>
    </row>
    <row r="186" spans="1:13" s="32" customFormat="1" ht="15.75" thickBot="1" x14ac:dyDescent="0.3">
      <c r="A186" s="25"/>
      <c r="B186" s="84"/>
      <c r="C186" s="50"/>
      <c r="D186" s="50"/>
      <c r="E186" s="44"/>
      <c r="F186" s="50"/>
      <c r="G186" s="50"/>
      <c r="H186" s="44"/>
      <c r="I186" s="44"/>
      <c r="J186" s="44"/>
      <c r="K186" s="44"/>
      <c r="L186" s="44"/>
      <c r="M186" s="44"/>
    </row>
    <row r="187" spans="1:13" s="32" customFormat="1" ht="21.95" customHeight="1" thickBot="1" x14ac:dyDescent="0.3">
      <c r="A187" s="16"/>
      <c r="B187" s="78" t="s">
        <v>101</v>
      </c>
      <c r="C187" s="30">
        <f>C182</f>
        <v>0</v>
      </c>
      <c r="D187" s="30">
        <f t="shared" ref="D187:L187" si="103">D182</f>
        <v>0</v>
      </c>
      <c r="E187" s="30">
        <v>0</v>
      </c>
      <c r="F187" s="30">
        <f t="shared" si="103"/>
        <v>0</v>
      </c>
      <c r="G187" s="30">
        <f t="shared" si="103"/>
        <v>0</v>
      </c>
      <c r="H187" s="30">
        <f t="shared" si="103"/>
        <v>0</v>
      </c>
      <c r="I187" s="30">
        <f t="shared" si="103"/>
        <v>0</v>
      </c>
      <c r="J187" s="30">
        <f t="shared" si="103"/>
        <v>0</v>
      </c>
      <c r="K187" s="30">
        <f t="shared" si="103"/>
        <v>0</v>
      </c>
      <c r="L187" s="30">
        <f t="shared" si="103"/>
        <v>0</v>
      </c>
      <c r="M187" s="30">
        <f>SUM(M185:M186)</f>
        <v>0</v>
      </c>
    </row>
    <row r="188" spans="1:13" s="32" customFormat="1" x14ac:dyDescent="0.25">
      <c r="A188" s="79"/>
      <c r="B188" s="80"/>
      <c r="C188" s="48"/>
      <c r="D188" s="48"/>
      <c r="E188" s="48"/>
      <c r="F188" s="48"/>
      <c r="G188" s="48"/>
      <c r="H188" s="48"/>
      <c r="I188" s="48"/>
      <c r="J188" s="48"/>
      <c r="K188" s="48"/>
      <c r="L188" s="44"/>
      <c r="M188" s="48"/>
    </row>
    <row r="189" spans="1:13" s="32" customFormat="1" ht="28.5" customHeight="1" x14ac:dyDescent="0.25">
      <c r="A189" s="65">
        <v>5000</v>
      </c>
      <c r="B189" s="70" t="s">
        <v>20</v>
      </c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3" s="72" customFormat="1" ht="21.95" customHeight="1" x14ac:dyDescent="0.25">
      <c r="A190" s="65">
        <v>5100</v>
      </c>
      <c r="B190" s="70" t="s">
        <v>216</v>
      </c>
      <c r="C190" s="64">
        <f>SUM(C191:C194)</f>
        <v>0</v>
      </c>
      <c r="D190" s="64">
        <f t="shared" ref="D190:M190" si="104">SUM(D191:D194)</f>
        <v>0</v>
      </c>
      <c r="E190" s="64">
        <v>0</v>
      </c>
      <c r="F190" s="64">
        <f t="shared" si="104"/>
        <v>0</v>
      </c>
      <c r="G190" s="64">
        <f t="shared" si="104"/>
        <v>0</v>
      </c>
      <c r="H190" s="64">
        <f t="shared" si="104"/>
        <v>0</v>
      </c>
      <c r="I190" s="64">
        <f t="shared" si="104"/>
        <v>0</v>
      </c>
      <c r="J190" s="64">
        <f t="shared" si="104"/>
        <v>0</v>
      </c>
      <c r="K190" s="64">
        <f t="shared" si="104"/>
        <v>0</v>
      </c>
      <c r="L190" s="64">
        <f t="shared" si="104"/>
        <v>0</v>
      </c>
      <c r="M190" s="64">
        <f t="shared" si="104"/>
        <v>0</v>
      </c>
    </row>
    <row r="191" spans="1:13" s="32" customFormat="1" ht="21" customHeight="1" x14ac:dyDescent="0.25">
      <c r="A191" s="17">
        <v>51101</v>
      </c>
      <c r="B191" s="8" t="s">
        <v>149</v>
      </c>
      <c r="C191" s="44"/>
      <c r="D191" s="44">
        <v>0</v>
      </c>
      <c r="E191" s="44">
        <v>0</v>
      </c>
      <c r="F191" s="44">
        <v>0</v>
      </c>
      <c r="G191" s="44">
        <f>E191-F191</f>
        <v>0</v>
      </c>
      <c r="H191" s="44">
        <f>F191</f>
        <v>0</v>
      </c>
      <c r="I191" s="44">
        <f>F191-H191</f>
        <v>0</v>
      </c>
      <c r="J191" s="44">
        <f>E191-H191</f>
        <v>0</v>
      </c>
      <c r="K191" s="44">
        <f>F191</f>
        <v>0</v>
      </c>
      <c r="L191" s="44">
        <f>K191</f>
        <v>0</v>
      </c>
      <c r="M191" s="44">
        <f>H191-L191</f>
        <v>0</v>
      </c>
    </row>
    <row r="192" spans="1:13" s="32" customFormat="1" ht="21" customHeight="1" x14ac:dyDescent="0.25">
      <c r="A192" s="17">
        <v>51301</v>
      </c>
      <c r="B192" s="8" t="s">
        <v>89</v>
      </c>
      <c r="C192" s="44">
        <v>0</v>
      </c>
      <c r="D192" s="44">
        <v>0</v>
      </c>
      <c r="E192" s="44">
        <v>0</v>
      </c>
      <c r="F192" s="44">
        <v>0</v>
      </c>
      <c r="G192" s="44">
        <f t="shared" ref="G192:G208" si="105">E192-F192</f>
        <v>0</v>
      </c>
      <c r="H192" s="44">
        <f>F192</f>
        <v>0</v>
      </c>
      <c r="I192" s="44"/>
      <c r="J192" s="44">
        <f t="shared" ref="J192:J208" si="106">E192-H192</f>
        <v>0</v>
      </c>
      <c r="K192" s="44">
        <f t="shared" ref="K192:K208" si="107">F192</f>
        <v>0</v>
      </c>
      <c r="L192" s="44">
        <f t="shared" si="96"/>
        <v>0</v>
      </c>
      <c r="M192" s="44"/>
    </row>
    <row r="193" spans="1:13" s="32" customFormat="1" ht="21" customHeight="1" x14ac:dyDescent="0.25">
      <c r="A193" s="17">
        <v>51501</v>
      </c>
      <c r="B193" s="8" t="s">
        <v>88</v>
      </c>
      <c r="C193" s="44"/>
      <c r="D193" s="44">
        <v>0</v>
      </c>
      <c r="E193" s="44">
        <v>0</v>
      </c>
      <c r="F193" s="44">
        <v>0</v>
      </c>
      <c r="G193" s="44">
        <f t="shared" si="105"/>
        <v>0</v>
      </c>
      <c r="H193" s="44">
        <f t="shared" ref="H193:H208" si="108">F193</f>
        <v>0</v>
      </c>
      <c r="I193" s="44">
        <f t="shared" ref="I193:I208" si="109">F193-H193</f>
        <v>0</v>
      </c>
      <c r="J193" s="44">
        <f t="shared" si="106"/>
        <v>0</v>
      </c>
      <c r="K193" s="44">
        <f t="shared" si="107"/>
        <v>0</v>
      </c>
      <c r="L193" s="44">
        <f t="shared" si="96"/>
        <v>0</v>
      </c>
      <c r="M193" s="44">
        <f t="shared" ref="M193:M208" si="110">H193-L193</f>
        <v>0</v>
      </c>
    </row>
    <row r="194" spans="1:13" s="32" customFormat="1" ht="21" customHeight="1" x14ac:dyDescent="0.25">
      <c r="A194" s="17">
        <v>51901</v>
      </c>
      <c r="B194" s="8" t="s">
        <v>87</v>
      </c>
      <c r="C194" s="44"/>
      <c r="D194" s="44">
        <v>0</v>
      </c>
      <c r="E194" s="44">
        <v>0</v>
      </c>
      <c r="F194" s="44">
        <v>0</v>
      </c>
      <c r="G194" s="44">
        <f t="shared" si="105"/>
        <v>0</v>
      </c>
      <c r="H194" s="44">
        <f t="shared" si="108"/>
        <v>0</v>
      </c>
      <c r="I194" s="44">
        <f t="shared" si="109"/>
        <v>0</v>
      </c>
      <c r="J194" s="44">
        <f t="shared" si="106"/>
        <v>0</v>
      </c>
      <c r="K194" s="44">
        <f t="shared" si="107"/>
        <v>0</v>
      </c>
      <c r="L194" s="44">
        <f t="shared" si="96"/>
        <v>0</v>
      </c>
      <c r="M194" s="44">
        <f t="shared" si="110"/>
        <v>0</v>
      </c>
    </row>
    <row r="195" spans="1:13" s="72" customFormat="1" ht="30" x14ac:dyDescent="0.25">
      <c r="A195" s="65">
        <v>5200</v>
      </c>
      <c r="B195" s="71" t="s">
        <v>217</v>
      </c>
      <c r="C195" s="64">
        <f>SUM(C196:C199)</f>
        <v>0</v>
      </c>
      <c r="D195" s="64">
        <f t="shared" ref="D195:M195" si="111">SUM(D196:D199)</f>
        <v>0</v>
      </c>
      <c r="E195" s="64">
        <v>0</v>
      </c>
      <c r="F195" s="64">
        <f t="shared" si="111"/>
        <v>0</v>
      </c>
      <c r="G195" s="64">
        <f t="shared" si="111"/>
        <v>0</v>
      </c>
      <c r="H195" s="64">
        <f t="shared" si="111"/>
        <v>0</v>
      </c>
      <c r="I195" s="64">
        <f t="shared" si="111"/>
        <v>0</v>
      </c>
      <c r="J195" s="64">
        <f t="shared" si="111"/>
        <v>0</v>
      </c>
      <c r="K195" s="64">
        <f t="shared" si="111"/>
        <v>0</v>
      </c>
      <c r="L195" s="64">
        <f t="shared" si="111"/>
        <v>0</v>
      </c>
      <c r="M195" s="64">
        <f t="shared" si="111"/>
        <v>0</v>
      </c>
    </row>
    <row r="196" spans="1:13" s="32" customFormat="1" ht="21" customHeight="1" x14ac:dyDescent="0.25">
      <c r="A196" s="17">
        <v>52101</v>
      </c>
      <c r="B196" s="8" t="s">
        <v>150</v>
      </c>
      <c r="C196" s="44">
        <v>0</v>
      </c>
      <c r="D196" s="44">
        <v>0</v>
      </c>
      <c r="E196" s="44">
        <v>0</v>
      </c>
      <c r="F196" s="44">
        <v>0</v>
      </c>
      <c r="G196" s="44">
        <f t="shared" si="105"/>
        <v>0</v>
      </c>
      <c r="H196" s="44">
        <f t="shared" si="108"/>
        <v>0</v>
      </c>
      <c r="I196" s="44">
        <f t="shared" si="109"/>
        <v>0</v>
      </c>
      <c r="J196" s="44">
        <f t="shared" si="106"/>
        <v>0</v>
      </c>
      <c r="K196" s="44">
        <f t="shared" si="107"/>
        <v>0</v>
      </c>
      <c r="L196" s="44">
        <f t="shared" si="96"/>
        <v>0</v>
      </c>
      <c r="M196" s="44"/>
    </row>
    <row r="197" spans="1:13" s="32" customFormat="1" ht="21" customHeight="1" x14ac:dyDescent="0.25">
      <c r="A197" s="17">
        <v>52301</v>
      </c>
      <c r="B197" s="8" t="s">
        <v>158</v>
      </c>
      <c r="C197" s="44">
        <v>0</v>
      </c>
      <c r="D197" s="44">
        <v>0</v>
      </c>
      <c r="E197" s="44">
        <v>0</v>
      </c>
      <c r="F197" s="44">
        <v>0</v>
      </c>
      <c r="G197" s="44">
        <f t="shared" si="105"/>
        <v>0</v>
      </c>
      <c r="H197" s="44">
        <f t="shared" si="108"/>
        <v>0</v>
      </c>
      <c r="I197" s="44">
        <f t="shared" si="109"/>
        <v>0</v>
      </c>
      <c r="J197" s="44">
        <f t="shared" si="106"/>
        <v>0</v>
      </c>
      <c r="K197" s="44">
        <f t="shared" si="107"/>
        <v>0</v>
      </c>
      <c r="L197" s="44">
        <f t="shared" si="96"/>
        <v>0</v>
      </c>
      <c r="M197" s="44"/>
    </row>
    <row r="198" spans="1:13" s="32" customFormat="1" ht="21" customHeight="1" x14ac:dyDescent="0.25">
      <c r="A198" s="17">
        <v>52901</v>
      </c>
      <c r="B198" s="8" t="s">
        <v>151</v>
      </c>
      <c r="C198" s="44"/>
      <c r="D198" s="44">
        <v>0</v>
      </c>
      <c r="E198" s="44">
        <v>0</v>
      </c>
      <c r="F198" s="44">
        <v>0</v>
      </c>
      <c r="G198" s="44">
        <f t="shared" si="105"/>
        <v>0</v>
      </c>
      <c r="H198" s="44">
        <f t="shared" si="108"/>
        <v>0</v>
      </c>
      <c r="I198" s="44">
        <f t="shared" si="109"/>
        <v>0</v>
      </c>
      <c r="J198" s="44">
        <f t="shared" si="106"/>
        <v>0</v>
      </c>
      <c r="K198" s="44">
        <f t="shared" si="107"/>
        <v>0</v>
      </c>
      <c r="L198" s="44">
        <f>K198</f>
        <v>0</v>
      </c>
      <c r="M198" s="44">
        <f t="shared" si="110"/>
        <v>0</v>
      </c>
    </row>
    <row r="199" spans="1:13" s="32" customFormat="1" ht="21" customHeight="1" x14ac:dyDescent="0.25">
      <c r="A199" s="17">
        <v>52902</v>
      </c>
      <c r="B199" s="8" t="s">
        <v>152</v>
      </c>
      <c r="C199" s="44">
        <v>0</v>
      </c>
      <c r="D199" s="44">
        <v>0</v>
      </c>
      <c r="E199" s="44">
        <v>0</v>
      </c>
      <c r="F199" s="44">
        <v>0</v>
      </c>
      <c r="G199" s="44">
        <f t="shared" si="105"/>
        <v>0</v>
      </c>
      <c r="H199" s="44">
        <f t="shared" si="108"/>
        <v>0</v>
      </c>
      <c r="I199" s="44">
        <f t="shared" si="109"/>
        <v>0</v>
      </c>
      <c r="J199" s="44">
        <f t="shared" si="106"/>
        <v>0</v>
      </c>
      <c r="K199" s="44">
        <f t="shared" si="107"/>
        <v>0</v>
      </c>
      <c r="L199" s="44">
        <f t="shared" si="96"/>
        <v>0</v>
      </c>
      <c r="M199" s="44">
        <f t="shared" si="110"/>
        <v>0</v>
      </c>
    </row>
    <row r="200" spans="1:13" s="72" customFormat="1" ht="30" x14ac:dyDescent="0.25">
      <c r="A200" s="65">
        <v>5300</v>
      </c>
      <c r="B200" s="71" t="s">
        <v>218</v>
      </c>
      <c r="C200" s="64">
        <f>SUM(C201:C201)</f>
        <v>0</v>
      </c>
      <c r="D200" s="64">
        <f>SUM(D201:D201)</f>
        <v>0</v>
      </c>
      <c r="E200" s="64">
        <v>0</v>
      </c>
      <c r="F200" s="64">
        <f t="shared" ref="F200:M200" si="112">SUM(F201)</f>
        <v>0</v>
      </c>
      <c r="G200" s="64">
        <f t="shared" si="112"/>
        <v>0</v>
      </c>
      <c r="H200" s="64">
        <f t="shared" si="112"/>
        <v>0</v>
      </c>
      <c r="I200" s="64">
        <f t="shared" si="112"/>
        <v>0</v>
      </c>
      <c r="J200" s="64">
        <f t="shared" si="112"/>
        <v>0</v>
      </c>
      <c r="K200" s="64">
        <f t="shared" si="112"/>
        <v>0</v>
      </c>
      <c r="L200" s="64">
        <f t="shared" si="112"/>
        <v>0</v>
      </c>
      <c r="M200" s="64">
        <f t="shared" si="112"/>
        <v>0</v>
      </c>
    </row>
    <row r="201" spans="1:13" s="32" customFormat="1" ht="21" customHeight="1" x14ac:dyDescent="0.25">
      <c r="A201" s="17">
        <v>53101</v>
      </c>
      <c r="B201" s="8" t="s">
        <v>143</v>
      </c>
      <c r="C201" s="44"/>
      <c r="D201" s="44">
        <v>0</v>
      </c>
      <c r="E201" s="44">
        <v>0</v>
      </c>
      <c r="F201" s="44">
        <v>0</v>
      </c>
      <c r="G201" s="44">
        <f t="shared" si="105"/>
        <v>0</v>
      </c>
      <c r="H201" s="44">
        <f t="shared" si="108"/>
        <v>0</v>
      </c>
      <c r="I201" s="44">
        <f t="shared" si="109"/>
        <v>0</v>
      </c>
      <c r="J201" s="44">
        <f t="shared" si="106"/>
        <v>0</v>
      </c>
      <c r="K201" s="44">
        <f t="shared" si="107"/>
        <v>0</v>
      </c>
      <c r="L201" s="44">
        <f t="shared" si="96"/>
        <v>0</v>
      </c>
      <c r="M201" s="44"/>
    </row>
    <row r="202" spans="1:13" s="72" customFormat="1" ht="24" customHeight="1" x14ac:dyDescent="0.25">
      <c r="A202" s="65">
        <v>5400</v>
      </c>
      <c r="B202" s="71" t="s">
        <v>219</v>
      </c>
      <c r="C202" s="64">
        <f>SUM(C203:C203)</f>
        <v>0</v>
      </c>
      <c r="D202" s="64">
        <f>SUM(D203:D203)</f>
        <v>0</v>
      </c>
      <c r="E202" s="64">
        <v>0</v>
      </c>
      <c r="F202" s="64">
        <f t="shared" ref="F202:M202" si="113">SUM(F203)</f>
        <v>0</v>
      </c>
      <c r="G202" s="64">
        <f t="shared" si="113"/>
        <v>0</v>
      </c>
      <c r="H202" s="64">
        <f t="shared" si="113"/>
        <v>0</v>
      </c>
      <c r="I202" s="64">
        <f t="shared" si="113"/>
        <v>0</v>
      </c>
      <c r="J202" s="64">
        <f t="shared" si="113"/>
        <v>0</v>
      </c>
      <c r="K202" s="64">
        <f t="shared" si="113"/>
        <v>0</v>
      </c>
      <c r="L202" s="64">
        <f t="shared" si="113"/>
        <v>0</v>
      </c>
      <c r="M202" s="64">
        <f t="shared" si="113"/>
        <v>0</v>
      </c>
    </row>
    <row r="203" spans="1:13" s="32" customFormat="1" ht="21" customHeight="1" x14ac:dyDescent="0.25">
      <c r="A203" s="17">
        <v>54104</v>
      </c>
      <c r="B203" s="8" t="s">
        <v>153</v>
      </c>
      <c r="C203" s="44">
        <v>0</v>
      </c>
      <c r="D203" s="44">
        <v>0</v>
      </c>
      <c r="E203" s="44">
        <v>0</v>
      </c>
      <c r="F203" s="44">
        <v>0</v>
      </c>
      <c r="G203" s="44">
        <f t="shared" si="105"/>
        <v>0</v>
      </c>
      <c r="H203" s="44">
        <f t="shared" si="108"/>
        <v>0</v>
      </c>
      <c r="I203" s="44">
        <f t="shared" si="109"/>
        <v>0</v>
      </c>
      <c r="J203" s="44">
        <f t="shared" si="106"/>
        <v>0</v>
      </c>
      <c r="K203" s="44">
        <f t="shared" si="107"/>
        <v>0</v>
      </c>
      <c r="L203" s="44">
        <f t="shared" si="96"/>
        <v>0</v>
      </c>
      <c r="M203" s="44">
        <f t="shared" si="110"/>
        <v>0</v>
      </c>
    </row>
    <row r="204" spans="1:13" s="72" customFormat="1" ht="30" customHeight="1" x14ac:dyDescent="0.25">
      <c r="A204" s="65">
        <v>5600</v>
      </c>
      <c r="B204" s="71" t="s">
        <v>220</v>
      </c>
      <c r="C204" s="64">
        <f>SUM(C205:C208)</f>
        <v>0</v>
      </c>
      <c r="D204" s="64">
        <f t="shared" ref="D204:M204" si="114">SUM(D205:D208)</f>
        <v>0</v>
      </c>
      <c r="E204" s="64">
        <v>0</v>
      </c>
      <c r="F204" s="64">
        <f t="shared" si="114"/>
        <v>0</v>
      </c>
      <c r="G204" s="64">
        <f t="shared" si="114"/>
        <v>0</v>
      </c>
      <c r="H204" s="64">
        <f t="shared" si="114"/>
        <v>0</v>
      </c>
      <c r="I204" s="64">
        <f t="shared" si="114"/>
        <v>0</v>
      </c>
      <c r="J204" s="64">
        <f t="shared" si="114"/>
        <v>0</v>
      </c>
      <c r="K204" s="64">
        <f t="shared" si="114"/>
        <v>0</v>
      </c>
      <c r="L204" s="64">
        <f t="shared" si="114"/>
        <v>0</v>
      </c>
      <c r="M204" s="64">
        <f t="shared" si="114"/>
        <v>0</v>
      </c>
    </row>
    <row r="205" spans="1:13" s="32" customFormat="1" ht="39" customHeight="1" x14ac:dyDescent="0.25">
      <c r="A205" s="17">
        <v>56401</v>
      </c>
      <c r="B205" s="8" t="s">
        <v>154</v>
      </c>
      <c r="C205" s="44"/>
      <c r="D205" s="44">
        <v>0</v>
      </c>
      <c r="E205" s="44">
        <v>0</v>
      </c>
      <c r="F205" s="44">
        <v>0</v>
      </c>
      <c r="G205" s="44">
        <f t="shared" si="105"/>
        <v>0</v>
      </c>
      <c r="H205" s="44">
        <f t="shared" si="108"/>
        <v>0</v>
      </c>
      <c r="I205" s="44">
        <f t="shared" si="109"/>
        <v>0</v>
      </c>
      <c r="J205" s="44">
        <f t="shared" si="106"/>
        <v>0</v>
      </c>
      <c r="K205" s="44">
        <f t="shared" si="107"/>
        <v>0</v>
      </c>
      <c r="L205" s="44">
        <f t="shared" si="96"/>
        <v>0</v>
      </c>
      <c r="M205" s="44">
        <f t="shared" si="110"/>
        <v>0</v>
      </c>
    </row>
    <row r="206" spans="1:13" s="32" customFormat="1" ht="30" x14ac:dyDescent="0.25">
      <c r="A206" s="17">
        <v>56501</v>
      </c>
      <c r="B206" s="8" t="s">
        <v>155</v>
      </c>
      <c r="C206" s="44">
        <v>0</v>
      </c>
      <c r="D206" s="44">
        <v>0</v>
      </c>
      <c r="E206" s="44">
        <v>0</v>
      </c>
      <c r="F206" s="44">
        <v>0</v>
      </c>
      <c r="G206" s="44">
        <f t="shared" si="105"/>
        <v>0</v>
      </c>
      <c r="H206" s="44">
        <f t="shared" si="108"/>
        <v>0</v>
      </c>
      <c r="I206" s="44">
        <f t="shared" si="109"/>
        <v>0</v>
      </c>
      <c r="J206" s="44">
        <f t="shared" si="106"/>
        <v>0</v>
      </c>
      <c r="K206" s="44">
        <f t="shared" si="107"/>
        <v>0</v>
      </c>
      <c r="L206" s="44">
        <f t="shared" si="96"/>
        <v>0</v>
      </c>
      <c r="M206" s="44">
        <f t="shared" si="110"/>
        <v>0</v>
      </c>
    </row>
    <row r="207" spans="1:13" s="32" customFormat="1" ht="21" customHeight="1" x14ac:dyDescent="0.25">
      <c r="A207" s="25">
        <v>56601</v>
      </c>
      <c r="B207" s="84" t="s">
        <v>156</v>
      </c>
      <c r="C207" s="50">
        <v>0</v>
      </c>
      <c r="D207" s="50">
        <v>0</v>
      </c>
      <c r="E207" s="44">
        <v>0</v>
      </c>
      <c r="F207" s="50">
        <v>0</v>
      </c>
      <c r="G207" s="44">
        <f t="shared" si="105"/>
        <v>0</v>
      </c>
      <c r="H207" s="44">
        <f t="shared" si="108"/>
        <v>0</v>
      </c>
      <c r="I207" s="44">
        <f t="shared" si="109"/>
        <v>0</v>
      </c>
      <c r="J207" s="44">
        <f t="shared" si="106"/>
        <v>0</v>
      </c>
      <c r="K207" s="44">
        <f t="shared" si="107"/>
        <v>0</v>
      </c>
      <c r="L207" s="44">
        <f t="shared" si="96"/>
        <v>0</v>
      </c>
      <c r="M207" s="44">
        <f t="shared" si="110"/>
        <v>0</v>
      </c>
    </row>
    <row r="208" spans="1:13" s="32" customFormat="1" ht="21" customHeight="1" x14ac:dyDescent="0.25">
      <c r="A208" s="17">
        <v>56701</v>
      </c>
      <c r="B208" s="8" t="s">
        <v>157</v>
      </c>
      <c r="C208" s="44"/>
      <c r="D208" s="44">
        <v>0</v>
      </c>
      <c r="E208" s="44">
        <v>0</v>
      </c>
      <c r="F208" s="44">
        <v>0</v>
      </c>
      <c r="G208" s="44">
        <f t="shared" si="105"/>
        <v>0</v>
      </c>
      <c r="H208" s="44">
        <f t="shared" si="108"/>
        <v>0</v>
      </c>
      <c r="I208" s="44">
        <f t="shared" si="109"/>
        <v>0</v>
      </c>
      <c r="J208" s="44">
        <f t="shared" si="106"/>
        <v>0</v>
      </c>
      <c r="K208" s="44">
        <f t="shared" si="107"/>
        <v>0</v>
      </c>
      <c r="L208" s="44">
        <f t="shared" si="96"/>
        <v>0</v>
      </c>
      <c r="M208" s="44">
        <f t="shared" si="110"/>
        <v>0</v>
      </c>
    </row>
    <row r="209" spans="1:13" s="32" customFormat="1" ht="18.95" customHeight="1" thickBot="1" x14ac:dyDescent="0.3">
      <c r="A209" s="74"/>
      <c r="B209" s="75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</row>
    <row r="210" spans="1:13" s="32" customFormat="1" ht="21.95" customHeight="1" thickBot="1" x14ac:dyDescent="0.3">
      <c r="A210" s="16"/>
      <c r="B210" s="78" t="s">
        <v>102</v>
      </c>
      <c r="C210" s="30">
        <f>C190+C195+C200+C202+C204</f>
        <v>0</v>
      </c>
      <c r="D210" s="30">
        <f t="shared" ref="D210:M210" si="115">D190+D195+D200+D202+D204</f>
        <v>0</v>
      </c>
      <c r="E210" s="30">
        <v>0</v>
      </c>
      <c r="F210" s="30">
        <f t="shared" si="115"/>
        <v>0</v>
      </c>
      <c r="G210" s="30">
        <f t="shared" si="115"/>
        <v>0</v>
      </c>
      <c r="H210" s="30">
        <f t="shared" si="115"/>
        <v>0</v>
      </c>
      <c r="I210" s="30">
        <f t="shared" si="115"/>
        <v>0</v>
      </c>
      <c r="J210" s="30">
        <f t="shared" si="115"/>
        <v>0</v>
      </c>
      <c r="K210" s="30">
        <f t="shared" si="115"/>
        <v>0</v>
      </c>
      <c r="L210" s="30">
        <f t="shared" si="115"/>
        <v>0</v>
      </c>
      <c r="M210" s="30">
        <f t="shared" si="115"/>
        <v>0</v>
      </c>
    </row>
    <row r="211" spans="1:13" s="32" customFormat="1" ht="21.95" customHeight="1" thickBot="1" x14ac:dyDescent="0.3">
      <c r="A211" s="96"/>
      <c r="B211" s="97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</row>
    <row r="212" spans="1:13" s="32" customFormat="1" ht="20.100000000000001" hidden="1" customHeight="1" x14ac:dyDescent="0.3">
      <c r="A212" s="65">
        <v>6000</v>
      </c>
      <c r="B212" s="70" t="s">
        <v>233</v>
      </c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</row>
    <row r="213" spans="1:13" s="72" customFormat="1" ht="20.100000000000001" hidden="1" customHeight="1" x14ac:dyDescent="0.3">
      <c r="A213" s="65">
        <v>61000</v>
      </c>
      <c r="B213" s="70" t="s">
        <v>234</v>
      </c>
      <c r="C213" s="64">
        <f t="shared" ref="C213:M213" si="116">SUM(C214:C214)</f>
        <v>0</v>
      </c>
      <c r="D213" s="64">
        <f t="shared" si="116"/>
        <v>0</v>
      </c>
      <c r="E213" s="64">
        <v>0</v>
      </c>
      <c r="F213" s="64">
        <f t="shared" si="116"/>
        <v>0</v>
      </c>
      <c r="G213" s="64">
        <f t="shared" si="116"/>
        <v>0</v>
      </c>
      <c r="H213" s="64">
        <f t="shared" si="116"/>
        <v>0</v>
      </c>
      <c r="I213" s="64">
        <f t="shared" si="116"/>
        <v>0</v>
      </c>
      <c r="J213" s="64">
        <f t="shared" si="116"/>
        <v>0</v>
      </c>
      <c r="K213" s="64">
        <f t="shared" si="116"/>
        <v>0</v>
      </c>
      <c r="L213" s="64">
        <f t="shared" si="116"/>
        <v>0</v>
      </c>
      <c r="M213" s="64">
        <f t="shared" si="116"/>
        <v>0</v>
      </c>
    </row>
    <row r="214" spans="1:13" s="32" customFormat="1" ht="18.95" hidden="1" customHeight="1" x14ac:dyDescent="0.3">
      <c r="A214" s="17">
        <v>61202</v>
      </c>
      <c r="B214" s="82" t="s">
        <v>232</v>
      </c>
      <c r="C214" s="44"/>
      <c r="D214" s="44">
        <v>0</v>
      </c>
      <c r="E214" s="44">
        <v>0</v>
      </c>
      <c r="F214" s="44">
        <v>0</v>
      </c>
      <c r="G214" s="44">
        <f>E214-F214</f>
        <v>0</v>
      </c>
      <c r="H214" s="44">
        <f>F214</f>
        <v>0</v>
      </c>
      <c r="I214" s="44">
        <f>F214-H214</f>
        <v>0</v>
      </c>
      <c r="J214" s="44">
        <f>E214-H214</f>
        <v>0</v>
      </c>
      <c r="K214" s="44">
        <f>F214</f>
        <v>0</v>
      </c>
      <c r="L214" s="44">
        <f t="shared" ref="L214" si="117">K214</f>
        <v>0</v>
      </c>
      <c r="M214" s="44">
        <f>H214-L214</f>
        <v>0</v>
      </c>
    </row>
    <row r="215" spans="1:13" s="32" customFormat="1" ht="15.75" hidden="1" thickBot="1" x14ac:dyDescent="0.3">
      <c r="A215" s="25"/>
      <c r="B215" s="84"/>
      <c r="C215" s="50"/>
      <c r="D215" s="50"/>
      <c r="E215" s="44"/>
      <c r="F215" s="50"/>
      <c r="G215" s="50"/>
      <c r="H215" s="44"/>
      <c r="I215" s="44"/>
      <c r="J215" s="44"/>
      <c r="K215" s="44"/>
      <c r="L215" s="44"/>
      <c r="M215" s="44"/>
    </row>
    <row r="216" spans="1:13" s="32" customFormat="1" ht="21.95" hidden="1" customHeight="1" thickBot="1" x14ac:dyDescent="0.3">
      <c r="A216" s="16"/>
      <c r="B216" s="78" t="s">
        <v>231</v>
      </c>
      <c r="C216" s="30">
        <f>C213</f>
        <v>0</v>
      </c>
      <c r="D216" s="30">
        <f t="shared" ref="D216:L216" si="118">D213</f>
        <v>0</v>
      </c>
      <c r="E216" s="30">
        <v>0</v>
      </c>
      <c r="F216" s="30">
        <f t="shared" si="118"/>
        <v>0</v>
      </c>
      <c r="G216" s="30">
        <f t="shared" si="118"/>
        <v>0</v>
      </c>
      <c r="H216" s="30">
        <f t="shared" si="118"/>
        <v>0</v>
      </c>
      <c r="I216" s="30">
        <f t="shared" si="118"/>
        <v>0</v>
      </c>
      <c r="J216" s="30">
        <f t="shared" si="118"/>
        <v>0</v>
      </c>
      <c r="K216" s="30">
        <f t="shared" si="118"/>
        <v>0</v>
      </c>
      <c r="L216" s="30">
        <f t="shared" si="118"/>
        <v>0</v>
      </c>
      <c r="M216" s="30">
        <f>SUM(M215:M215)</f>
        <v>0</v>
      </c>
    </row>
    <row r="217" spans="1:13" s="32" customFormat="1" ht="15.75" thickBot="1" x14ac:dyDescent="0.3">
      <c r="A217" s="98"/>
      <c r="B217" s="99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</row>
    <row r="218" spans="1:13" s="32" customFormat="1" ht="30.75" customHeight="1" thickBot="1" x14ac:dyDescent="0.3">
      <c r="A218" s="16"/>
      <c r="B218" s="16" t="s">
        <v>21</v>
      </c>
      <c r="C218" s="30">
        <f>C76+C120+C179+C187+C210+C216</f>
        <v>630478054</v>
      </c>
      <c r="D218" s="30">
        <f>D76+D120+D179+D187+D210+D216</f>
        <v>278691417.65000004</v>
      </c>
      <c r="E218" s="30">
        <v>909169471.64999998</v>
      </c>
      <c r="F218" s="30">
        <f t="shared" ref="F218:M218" si="119">F76+F120+F179+F187+F210+F216</f>
        <v>1064082974.4299998</v>
      </c>
      <c r="G218" s="30">
        <f t="shared" si="119"/>
        <v>-154913502.78</v>
      </c>
      <c r="H218" s="30">
        <f t="shared" si="119"/>
        <v>1064082974.4299998</v>
      </c>
      <c r="I218" s="30">
        <f t="shared" si="119"/>
        <v>0</v>
      </c>
      <c r="J218" s="30">
        <f t="shared" si="119"/>
        <v>-154913502.78</v>
      </c>
      <c r="K218" s="30">
        <f t="shared" si="119"/>
        <v>1064082974.4299998</v>
      </c>
      <c r="L218" s="30">
        <f t="shared" si="119"/>
        <v>750640775.02999997</v>
      </c>
      <c r="M218" s="30">
        <f t="shared" si="119"/>
        <v>313442199.39999998</v>
      </c>
    </row>
    <row r="219" spans="1:13" ht="66.75" customHeight="1" x14ac:dyDescent="0.25">
      <c r="A219" s="105" t="s">
        <v>171</v>
      </c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</row>
    <row r="220" spans="1:13" ht="32.25" customHeight="1" x14ac:dyDescent="0.25">
      <c r="A220" s="100" t="s">
        <v>22</v>
      </c>
      <c r="B220" s="100"/>
      <c r="C220" s="100"/>
      <c r="D220" s="100" t="s">
        <v>23</v>
      </c>
      <c r="E220" s="100"/>
      <c r="F220" s="100"/>
      <c r="G220" s="100"/>
      <c r="H220" s="100"/>
      <c r="I220" s="55"/>
      <c r="J220" s="100" t="s">
        <v>24</v>
      </c>
      <c r="K220" s="100"/>
      <c r="L220" s="100"/>
      <c r="M220" s="55"/>
    </row>
    <row r="221" spans="1:13" ht="15.75" x14ac:dyDescent="0.25">
      <c r="A221" s="100"/>
      <c r="B221" s="100"/>
      <c r="C221" s="100"/>
      <c r="D221" s="55"/>
      <c r="E221" s="66"/>
      <c r="F221" s="55"/>
      <c r="G221" s="100"/>
      <c r="H221" s="100"/>
      <c r="I221" s="55"/>
      <c r="J221" s="100"/>
      <c r="K221" s="100"/>
      <c r="L221" s="55"/>
      <c r="M221" s="55"/>
    </row>
    <row r="222" spans="1:13" ht="15.75" x14ac:dyDescent="0.25">
      <c r="A222" s="55"/>
      <c r="B222" s="55"/>
      <c r="C222" s="67"/>
      <c r="D222" s="67"/>
      <c r="E222" s="68"/>
      <c r="F222" s="67"/>
      <c r="G222" s="68"/>
      <c r="H222" s="67"/>
      <c r="I222" s="67"/>
      <c r="J222" s="67"/>
      <c r="K222" s="67"/>
      <c r="L222" s="67"/>
      <c r="M222" s="67"/>
    </row>
    <row r="223" spans="1:13" ht="15.75" x14ac:dyDescent="0.25">
      <c r="A223" s="55"/>
      <c r="B223" s="55"/>
      <c r="C223" s="55"/>
      <c r="D223" s="57"/>
      <c r="E223" s="58"/>
      <c r="F223" s="57"/>
      <c r="G223" s="56"/>
      <c r="H223" s="55"/>
      <c r="I223" s="55"/>
      <c r="J223" s="55"/>
      <c r="K223" s="55"/>
      <c r="L223" s="55"/>
      <c r="M223" s="55"/>
    </row>
    <row r="224" spans="1:13" ht="15.75" customHeight="1" x14ac:dyDescent="0.25">
      <c r="A224" s="101" t="s">
        <v>25</v>
      </c>
      <c r="B224" s="101"/>
      <c r="C224" s="101"/>
      <c r="D224" s="102" t="s">
        <v>175</v>
      </c>
      <c r="E224" s="102"/>
      <c r="F224" s="102"/>
      <c r="G224" s="102"/>
      <c r="H224" s="57"/>
      <c r="I224" s="55"/>
      <c r="J224" s="101" t="s">
        <v>169</v>
      </c>
      <c r="K224" s="101"/>
      <c r="L224" s="101"/>
      <c r="M224" s="55"/>
    </row>
    <row r="225" spans="1:13" ht="15.75" x14ac:dyDescent="0.25">
      <c r="A225" s="100" t="s">
        <v>26</v>
      </c>
      <c r="B225" s="100"/>
      <c r="C225" s="100"/>
      <c r="D225" s="100" t="s">
        <v>27</v>
      </c>
      <c r="E225" s="100"/>
      <c r="F225" s="100"/>
      <c r="G225" s="100"/>
      <c r="H225" s="55"/>
      <c r="I225" s="100" t="s">
        <v>28</v>
      </c>
      <c r="J225" s="100"/>
      <c r="K225" s="100"/>
      <c r="L225" s="100"/>
      <c r="M225" s="55"/>
    </row>
  </sheetData>
  <mergeCells count="16">
    <mergeCell ref="A225:C225"/>
    <mergeCell ref="D225:G225"/>
    <mergeCell ref="I225:L225"/>
    <mergeCell ref="A221:C221"/>
    <mergeCell ref="G221:H221"/>
    <mergeCell ref="J221:K221"/>
    <mergeCell ref="A224:C224"/>
    <mergeCell ref="D224:G224"/>
    <mergeCell ref="J224:L224"/>
    <mergeCell ref="A3:M3"/>
    <mergeCell ref="A5:M5"/>
    <mergeCell ref="A219:M219"/>
    <mergeCell ref="A220:C220"/>
    <mergeCell ref="D220:F220"/>
    <mergeCell ref="G220:H220"/>
    <mergeCell ref="J220:L220"/>
  </mergeCells>
  <conditionalFormatting sqref="G220:G221 G186 G180:G181 G178 G78 G2:G5 G75 G188:G189 G121:G122 G209 G217 G8:G9 G223 G226:G1048576">
    <cfRule type="cellIs" dxfId="9" priority="4" operator="lessThan">
      <formula>0</formula>
    </cfRule>
  </conditionalFormatting>
  <conditionalFormatting sqref="E2:E5 E8:E9 E221 D220 E223 E226:E1048576">
    <cfRule type="cellIs" dxfId="8" priority="2" operator="lessThan">
      <formula>0</formula>
    </cfRule>
    <cfRule type="cellIs" dxfId="7" priority="3" operator="lessThan">
      <formula>0</formula>
    </cfRule>
  </conditionalFormatting>
  <conditionalFormatting sqref="G215 G212">
    <cfRule type="cellIs" dxfId="6" priority="1" operator="lessThan">
      <formula>0</formula>
    </cfRule>
  </conditionalFormatting>
  <printOptions horizontalCentered="1"/>
  <pageMargins left="0.23622047244094491" right="0.23622047244094491" top="0.55118110236220474" bottom="0.35433070866141736" header="0.31496062992125984" footer="0.31496062992125984"/>
  <pageSetup paperSize="9" scale="60" fitToWidth="0" fitToHeight="0" orientation="landscape" errors="blank" r:id="rId1"/>
  <headerFooter scaleWithDoc="0" alignWithMargins="0">
    <oddHeader xml:space="preserve">&amp;C 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5C28"/>
  </sheetPr>
  <dimension ref="A1:M220"/>
  <sheetViews>
    <sheetView showRuler="0" zoomScaleNormal="100" zoomScalePageLayoutView="83" workbookViewId="0">
      <pane ySplit="7" topLeftCell="A8" activePane="bottomLeft" state="frozen"/>
      <selection pane="bottomLeft" activeCell="B14" sqref="B14"/>
    </sheetView>
  </sheetViews>
  <sheetFormatPr baseColWidth="10" defaultRowHeight="15" x14ac:dyDescent="0.25"/>
  <cols>
    <col min="1" max="1" width="13.7109375" style="69" customWidth="1"/>
    <col min="2" max="2" width="44.5703125" customWidth="1"/>
    <col min="3" max="3" width="30.85546875" customWidth="1"/>
    <col min="4" max="4" width="17" customWidth="1"/>
    <col min="5" max="5" width="23.28515625" style="32" customWidth="1"/>
    <col min="6" max="6" width="24.5703125" customWidth="1"/>
    <col min="7" max="7" width="17.85546875" style="32" hidden="1" customWidth="1"/>
    <col min="8" max="8" width="20.5703125" customWidth="1"/>
    <col min="9" max="9" width="15.85546875" hidden="1" customWidth="1"/>
    <col min="10" max="10" width="18" hidden="1" customWidth="1"/>
    <col min="11" max="12" width="20.5703125" bestFit="1" customWidth="1"/>
    <col min="13" max="13" width="22.28515625" bestFit="1" customWidth="1"/>
  </cols>
  <sheetData>
    <row r="1" spans="1:13" ht="14.4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3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9.75" customHeight="1" x14ac:dyDescent="0.3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100000000000001" customHeight="1" x14ac:dyDescent="0.25">
      <c r="A4" s="104" t="s">
        <v>245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45" x14ac:dyDescent="0.25">
      <c r="A5" s="27"/>
      <c r="B5" s="28" t="s">
        <v>2</v>
      </c>
      <c r="C5" s="29" t="s">
        <v>3</v>
      </c>
      <c r="D5" s="29" t="s">
        <v>179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29" t="s">
        <v>9</v>
      </c>
      <c r="K5" s="29" t="s">
        <v>10</v>
      </c>
      <c r="L5" s="29" t="s">
        <v>11</v>
      </c>
      <c r="M5" s="29" t="s">
        <v>178</v>
      </c>
    </row>
    <row r="6" spans="1:13" s="22" customFormat="1" ht="20.100000000000001" customHeight="1" x14ac:dyDescent="0.35">
      <c r="A6" s="35" t="s">
        <v>1</v>
      </c>
      <c r="B6" s="28" t="s">
        <v>12</v>
      </c>
      <c r="C6" s="28">
        <v>1</v>
      </c>
      <c r="D6" s="28">
        <v>2</v>
      </c>
      <c r="E6" s="28">
        <v>3</v>
      </c>
      <c r="F6" s="28">
        <v>4</v>
      </c>
      <c r="G6" s="28" t="s">
        <v>13</v>
      </c>
      <c r="H6" s="28">
        <v>6</v>
      </c>
      <c r="I6" s="28" t="s">
        <v>14</v>
      </c>
      <c r="J6" s="28" t="s">
        <v>15</v>
      </c>
      <c r="K6" s="28">
        <v>9</v>
      </c>
      <c r="L6" s="28">
        <v>10</v>
      </c>
      <c r="M6" s="28" t="s">
        <v>16</v>
      </c>
    </row>
    <row r="7" spans="1:13" ht="18" customHeight="1" x14ac:dyDescent="0.35">
      <c r="A7" s="36"/>
      <c r="B7" s="37"/>
      <c r="C7" s="38"/>
      <c r="D7" s="38"/>
      <c r="E7" s="39"/>
      <c r="F7" s="38"/>
      <c r="G7" s="40"/>
      <c r="H7" s="41"/>
      <c r="I7" s="38"/>
      <c r="J7" s="38"/>
      <c r="K7" s="38"/>
      <c r="L7" s="38"/>
      <c r="M7" s="42"/>
    </row>
    <row r="8" spans="1:13" s="32" customFormat="1" ht="20.100000000000001" customHeight="1" x14ac:dyDescent="0.35">
      <c r="A8" s="65">
        <v>1000</v>
      </c>
      <c r="B8" s="70" t="s">
        <v>17</v>
      </c>
      <c r="C8" s="44" t="s">
        <v>1</v>
      </c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s="72" customFormat="1" ht="29.1" x14ac:dyDescent="0.35">
      <c r="A9" s="65">
        <v>1100</v>
      </c>
      <c r="B9" s="71" t="s">
        <v>224</v>
      </c>
      <c r="C9" s="64">
        <f>SUM(C10:C10)</f>
        <v>0</v>
      </c>
      <c r="D9" s="64">
        <f t="shared" ref="D9:M11" si="0">SUM(D10:D10)</f>
        <v>0</v>
      </c>
      <c r="E9" s="64">
        <v>0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0</v>
      </c>
      <c r="J9" s="64">
        <f t="shared" si="0"/>
        <v>0</v>
      </c>
      <c r="K9" s="64">
        <f t="shared" si="0"/>
        <v>0</v>
      </c>
      <c r="L9" s="64">
        <f t="shared" si="0"/>
        <v>0</v>
      </c>
      <c r="M9" s="64">
        <f t="shared" si="0"/>
        <v>0</v>
      </c>
    </row>
    <row r="10" spans="1:13" s="32" customFormat="1" ht="18.95" customHeight="1" x14ac:dyDescent="0.35">
      <c r="A10" s="17">
        <v>11301</v>
      </c>
      <c r="B10" s="8" t="s">
        <v>29</v>
      </c>
      <c r="C10" s="44"/>
      <c r="D10" s="44">
        <v>0</v>
      </c>
      <c r="E10" s="44">
        <v>0</v>
      </c>
      <c r="F10" s="73">
        <v>0</v>
      </c>
      <c r="G10" s="44">
        <f>E10-F10</f>
        <v>0</v>
      </c>
      <c r="H10" s="44">
        <f>F10</f>
        <v>0</v>
      </c>
      <c r="I10" s="44">
        <f>F10-H10</f>
        <v>0</v>
      </c>
      <c r="J10" s="44">
        <f>E10-H10</f>
        <v>0</v>
      </c>
      <c r="K10" s="44">
        <f>F10</f>
        <v>0</v>
      </c>
      <c r="L10" s="44">
        <f>K10</f>
        <v>0</v>
      </c>
      <c r="M10" s="44">
        <f>H10-L10</f>
        <v>0</v>
      </c>
    </row>
    <row r="11" spans="1:13" s="72" customFormat="1" ht="27" customHeight="1" x14ac:dyDescent="0.25">
      <c r="A11" s="65">
        <v>1200</v>
      </c>
      <c r="B11" s="71" t="s">
        <v>194</v>
      </c>
      <c r="C11" s="64">
        <f>SUM(C12:C12)</f>
        <v>0</v>
      </c>
      <c r="D11" s="64">
        <f t="shared" si="0"/>
        <v>0</v>
      </c>
      <c r="E11" s="64">
        <v>0</v>
      </c>
      <c r="F11" s="44">
        <f t="shared" si="0"/>
        <v>0</v>
      </c>
      <c r="G11" s="64">
        <f t="shared" si="0"/>
        <v>0</v>
      </c>
      <c r="H11" s="64">
        <f t="shared" si="0"/>
        <v>0</v>
      </c>
      <c r="I11" s="64">
        <f t="shared" si="0"/>
        <v>0</v>
      </c>
      <c r="J11" s="64">
        <f t="shared" si="0"/>
        <v>0</v>
      </c>
      <c r="K11" s="64">
        <f t="shared" si="0"/>
        <v>0</v>
      </c>
      <c r="L11" s="64">
        <f t="shared" si="0"/>
        <v>0</v>
      </c>
      <c r="M11" s="64">
        <f t="shared" si="0"/>
        <v>0</v>
      </c>
    </row>
    <row r="12" spans="1:13" s="32" customFormat="1" ht="18.95" customHeight="1" x14ac:dyDescent="0.35">
      <c r="A12" s="17">
        <v>12101</v>
      </c>
      <c r="B12" s="8" t="s">
        <v>30</v>
      </c>
      <c r="C12" s="44">
        <v>0</v>
      </c>
      <c r="D12" s="44">
        <v>0</v>
      </c>
      <c r="E12" s="44">
        <v>0</v>
      </c>
      <c r="F12" s="44">
        <v>0</v>
      </c>
      <c r="G12" s="44">
        <f t="shared" ref="G12:G70" si="1">E12-F12</f>
        <v>0</v>
      </c>
      <c r="H12" s="44">
        <f>F12</f>
        <v>0</v>
      </c>
      <c r="I12" s="44">
        <f>F12-H12</f>
        <v>0</v>
      </c>
      <c r="J12" s="44">
        <f t="shared" ref="J12:J70" si="2">E12-H12</f>
        <v>0</v>
      </c>
      <c r="K12" s="44">
        <f>F12</f>
        <v>0</v>
      </c>
      <c r="L12" s="44">
        <f t="shared" ref="L12:L71" si="3">K12</f>
        <v>0</v>
      </c>
      <c r="M12" s="44">
        <f>H12-L12</f>
        <v>0</v>
      </c>
    </row>
    <row r="13" spans="1:13" s="72" customFormat="1" ht="20.100000000000001" customHeight="1" x14ac:dyDescent="0.35">
      <c r="A13" s="65">
        <v>1300</v>
      </c>
      <c r="B13" s="71" t="s">
        <v>195</v>
      </c>
      <c r="C13" s="64">
        <f t="shared" ref="C13:M13" si="4">SUM(C14:C24)</f>
        <v>0</v>
      </c>
      <c r="D13" s="64">
        <f t="shared" si="4"/>
        <v>0</v>
      </c>
      <c r="E13" s="64">
        <v>0</v>
      </c>
      <c r="F13" s="64">
        <f t="shared" si="4"/>
        <v>0</v>
      </c>
      <c r="G13" s="64">
        <f t="shared" si="4"/>
        <v>0</v>
      </c>
      <c r="H13" s="64">
        <f t="shared" si="4"/>
        <v>0</v>
      </c>
      <c r="I13" s="64">
        <f t="shared" si="4"/>
        <v>0</v>
      </c>
      <c r="J13" s="64">
        <f t="shared" si="4"/>
        <v>0</v>
      </c>
      <c r="K13" s="64">
        <f t="shared" si="4"/>
        <v>0</v>
      </c>
      <c r="L13" s="64">
        <f t="shared" si="4"/>
        <v>0</v>
      </c>
      <c r="M13" s="64">
        <f t="shared" si="4"/>
        <v>0</v>
      </c>
    </row>
    <row r="14" spans="1:13" s="32" customFormat="1" ht="30" x14ac:dyDescent="0.25">
      <c r="A14" s="17">
        <v>13101</v>
      </c>
      <c r="B14" s="8" t="s">
        <v>90</v>
      </c>
      <c r="C14" s="44"/>
      <c r="D14" s="44">
        <v>0</v>
      </c>
      <c r="E14" s="44">
        <v>0</v>
      </c>
      <c r="F14" s="44">
        <v>0</v>
      </c>
      <c r="G14" s="44">
        <f t="shared" si="1"/>
        <v>0</v>
      </c>
      <c r="H14" s="44">
        <f t="shared" ref="H14:H71" si="5">F14</f>
        <v>0</v>
      </c>
      <c r="I14" s="44">
        <f t="shared" ref="I14:I71" si="6">F14-H14</f>
        <v>0</v>
      </c>
      <c r="J14" s="44">
        <f t="shared" si="2"/>
        <v>0</v>
      </c>
      <c r="K14" s="44">
        <f t="shared" ref="K14:K71" si="7">F14</f>
        <v>0</v>
      </c>
      <c r="L14" s="44">
        <f>K14</f>
        <v>0</v>
      </c>
      <c r="M14" s="44">
        <f t="shared" ref="M14:M71" si="8">H14-L14</f>
        <v>0</v>
      </c>
    </row>
    <row r="15" spans="1:13" s="32" customFormat="1" ht="18.95" customHeight="1" x14ac:dyDescent="0.25">
      <c r="A15" s="17">
        <v>13103</v>
      </c>
      <c r="B15" s="8" t="s">
        <v>104</v>
      </c>
      <c r="C15" s="26"/>
      <c r="D15" s="26">
        <v>0</v>
      </c>
      <c r="E15" s="44">
        <v>0</v>
      </c>
      <c r="F15" s="44">
        <v>0</v>
      </c>
      <c r="G15" s="44">
        <f t="shared" si="1"/>
        <v>0</v>
      </c>
      <c r="H15" s="44">
        <f t="shared" si="5"/>
        <v>0</v>
      </c>
      <c r="I15" s="44">
        <f t="shared" si="6"/>
        <v>0</v>
      </c>
      <c r="J15" s="44">
        <f t="shared" si="2"/>
        <v>0</v>
      </c>
      <c r="K15" s="44">
        <f t="shared" si="7"/>
        <v>0</v>
      </c>
      <c r="L15" s="44">
        <f>K15</f>
        <v>0</v>
      </c>
      <c r="M15" s="44">
        <f t="shared" si="8"/>
        <v>0</v>
      </c>
    </row>
    <row r="16" spans="1:13" s="32" customFormat="1" ht="18.95" customHeight="1" x14ac:dyDescent="0.25">
      <c r="A16" s="17">
        <v>13105</v>
      </c>
      <c r="B16" s="8" t="s">
        <v>105</v>
      </c>
      <c r="C16" s="44">
        <v>0</v>
      </c>
      <c r="D16" s="44">
        <v>0</v>
      </c>
      <c r="E16" s="44">
        <v>0</v>
      </c>
      <c r="F16" s="44">
        <v>0</v>
      </c>
      <c r="G16" s="44">
        <f t="shared" si="1"/>
        <v>0</v>
      </c>
      <c r="H16" s="44">
        <f t="shared" si="5"/>
        <v>0</v>
      </c>
      <c r="I16" s="44">
        <f t="shared" si="6"/>
        <v>0</v>
      </c>
      <c r="J16" s="44">
        <f t="shared" si="2"/>
        <v>0</v>
      </c>
      <c r="K16" s="44">
        <f t="shared" si="7"/>
        <v>0</v>
      </c>
      <c r="L16" s="44">
        <f>K16</f>
        <v>0</v>
      </c>
      <c r="M16" s="44">
        <f t="shared" si="8"/>
        <v>0</v>
      </c>
    </row>
    <row r="17" spans="1:13" s="32" customFormat="1" ht="18.95" customHeight="1" x14ac:dyDescent="0.35">
      <c r="A17" s="17">
        <v>13201</v>
      </c>
      <c r="B17" s="8" t="s">
        <v>161</v>
      </c>
      <c r="C17" s="44"/>
      <c r="D17" s="44">
        <v>0</v>
      </c>
      <c r="E17" s="44">
        <v>0</v>
      </c>
      <c r="F17" s="44">
        <v>0</v>
      </c>
      <c r="G17" s="44">
        <f t="shared" si="1"/>
        <v>0</v>
      </c>
      <c r="H17" s="44">
        <f t="shared" si="5"/>
        <v>0</v>
      </c>
      <c r="I17" s="44">
        <f t="shared" si="6"/>
        <v>0</v>
      </c>
      <c r="J17" s="44">
        <f t="shared" si="2"/>
        <v>0</v>
      </c>
      <c r="K17" s="44">
        <f t="shared" si="7"/>
        <v>0</v>
      </c>
      <c r="L17" s="44">
        <f>K17</f>
        <v>0</v>
      </c>
      <c r="M17" s="44">
        <f t="shared" si="8"/>
        <v>0</v>
      </c>
    </row>
    <row r="18" spans="1:13" s="32" customFormat="1" ht="18.95" customHeight="1" x14ac:dyDescent="0.25">
      <c r="A18" s="17">
        <v>13202</v>
      </c>
      <c r="B18" s="8" t="s">
        <v>31</v>
      </c>
      <c r="C18" s="44"/>
      <c r="D18" s="44">
        <v>0</v>
      </c>
      <c r="E18" s="44">
        <v>0</v>
      </c>
      <c r="F18" s="44">
        <v>0</v>
      </c>
      <c r="G18" s="44">
        <f t="shared" si="1"/>
        <v>0</v>
      </c>
      <c r="H18" s="44">
        <f t="shared" si="5"/>
        <v>0</v>
      </c>
      <c r="I18" s="44">
        <f t="shared" si="6"/>
        <v>0</v>
      </c>
      <c r="J18" s="44">
        <f t="shared" si="2"/>
        <v>0</v>
      </c>
      <c r="K18" s="44">
        <f t="shared" si="7"/>
        <v>0</v>
      </c>
      <c r="L18" s="44">
        <f>K18</f>
        <v>0</v>
      </c>
      <c r="M18" s="44">
        <f t="shared" si="8"/>
        <v>0</v>
      </c>
    </row>
    <row r="19" spans="1:13" s="32" customFormat="1" ht="18.95" customHeight="1" x14ac:dyDescent="0.25">
      <c r="A19" s="17">
        <v>13401</v>
      </c>
      <c r="B19" s="8" t="s">
        <v>32</v>
      </c>
      <c r="C19" s="44">
        <v>0</v>
      </c>
      <c r="D19" s="44">
        <v>0</v>
      </c>
      <c r="E19" s="44">
        <v>0</v>
      </c>
      <c r="F19" s="44">
        <v>0</v>
      </c>
      <c r="G19" s="44">
        <f t="shared" si="1"/>
        <v>0</v>
      </c>
      <c r="H19" s="44">
        <f t="shared" si="5"/>
        <v>0</v>
      </c>
      <c r="I19" s="44">
        <f t="shared" si="6"/>
        <v>0</v>
      </c>
      <c r="J19" s="44">
        <f t="shared" si="2"/>
        <v>0</v>
      </c>
      <c r="K19" s="44">
        <f t="shared" si="7"/>
        <v>0</v>
      </c>
      <c r="L19" s="44">
        <f t="shared" si="3"/>
        <v>0</v>
      </c>
      <c r="M19" s="44">
        <f t="shared" si="8"/>
        <v>0</v>
      </c>
    </row>
    <row r="20" spans="1:13" s="32" customFormat="1" ht="30" x14ac:dyDescent="0.25">
      <c r="A20" s="17">
        <v>13409</v>
      </c>
      <c r="B20" s="8" t="s">
        <v>33</v>
      </c>
      <c r="C20" s="44"/>
      <c r="D20" s="44">
        <v>0</v>
      </c>
      <c r="E20" s="44">
        <v>0</v>
      </c>
      <c r="F20" s="44">
        <v>0</v>
      </c>
      <c r="G20" s="44">
        <f t="shared" si="1"/>
        <v>0</v>
      </c>
      <c r="H20" s="44">
        <f t="shared" si="5"/>
        <v>0</v>
      </c>
      <c r="I20" s="44">
        <f t="shared" si="6"/>
        <v>0</v>
      </c>
      <c r="J20" s="44">
        <f t="shared" si="2"/>
        <v>0</v>
      </c>
      <c r="K20" s="44">
        <f t="shared" si="7"/>
        <v>0</v>
      </c>
      <c r="L20" s="44">
        <f t="shared" si="3"/>
        <v>0</v>
      </c>
      <c r="M20" s="44">
        <f t="shared" si="8"/>
        <v>0</v>
      </c>
    </row>
    <row r="21" spans="1:13" s="32" customFormat="1" ht="30" x14ac:dyDescent="0.25">
      <c r="A21" s="17">
        <v>13410</v>
      </c>
      <c r="B21" s="8" t="s">
        <v>34</v>
      </c>
      <c r="C21" s="44">
        <v>0</v>
      </c>
      <c r="D21" s="44">
        <v>0</v>
      </c>
      <c r="E21" s="44">
        <v>0</v>
      </c>
      <c r="F21" s="44">
        <v>0</v>
      </c>
      <c r="G21" s="44">
        <f t="shared" si="1"/>
        <v>0</v>
      </c>
      <c r="H21" s="44">
        <f t="shared" si="5"/>
        <v>0</v>
      </c>
      <c r="I21" s="44">
        <f t="shared" si="6"/>
        <v>0</v>
      </c>
      <c r="J21" s="44">
        <f t="shared" si="2"/>
        <v>0</v>
      </c>
      <c r="K21" s="44">
        <f t="shared" si="7"/>
        <v>0</v>
      </c>
      <c r="L21" s="44">
        <f t="shared" si="3"/>
        <v>0</v>
      </c>
      <c r="M21" s="44">
        <f t="shared" si="8"/>
        <v>0</v>
      </c>
    </row>
    <row r="22" spans="1:13" s="32" customFormat="1" ht="18.95" customHeight="1" x14ac:dyDescent="0.25">
      <c r="A22" s="17">
        <v>13415</v>
      </c>
      <c r="B22" s="8" t="s">
        <v>125</v>
      </c>
      <c r="C22" s="44">
        <v>0</v>
      </c>
      <c r="D22" s="44">
        <v>0</v>
      </c>
      <c r="E22" s="44">
        <v>0</v>
      </c>
      <c r="F22" s="44">
        <v>0</v>
      </c>
      <c r="G22" s="44">
        <f t="shared" si="1"/>
        <v>0</v>
      </c>
      <c r="H22" s="44">
        <f t="shared" si="5"/>
        <v>0</v>
      </c>
      <c r="I22" s="44">
        <f t="shared" si="6"/>
        <v>0</v>
      </c>
      <c r="J22" s="44">
        <f t="shared" si="2"/>
        <v>0</v>
      </c>
      <c r="K22" s="44">
        <f t="shared" si="7"/>
        <v>0</v>
      </c>
      <c r="L22" s="44">
        <f t="shared" si="3"/>
        <v>0</v>
      </c>
      <c r="M22" s="44">
        <f t="shared" si="8"/>
        <v>0</v>
      </c>
    </row>
    <row r="23" spans="1:13" s="32" customFormat="1" ht="18.95" customHeight="1" x14ac:dyDescent="0.25">
      <c r="A23" s="17">
        <v>13416</v>
      </c>
      <c r="B23" s="8" t="s">
        <v>106</v>
      </c>
      <c r="C23" s="44"/>
      <c r="D23" s="44">
        <v>0</v>
      </c>
      <c r="E23" s="44">
        <v>0</v>
      </c>
      <c r="F23" s="44">
        <v>0</v>
      </c>
      <c r="G23" s="44">
        <f t="shared" si="1"/>
        <v>0</v>
      </c>
      <c r="H23" s="44">
        <f t="shared" si="5"/>
        <v>0</v>
      </c>
      <c r="I23" s="44">
        <f t="shared" si="6"/>
        <v>0</v>
      </c>
      <c r="J23" s="44">
        <f t="shared" si="2"/>
        <v>0</v>
      </c>
      <c r="K23" s="44">
        <f t="shared" si="7"/>
        <v>0</v>
      </c>
      <c r="L23" s="44">
        <f t="shared" si="3"/>
        <v>0</v>
      </c>
      <c r="M23" s="44">
        <f t="shared" si="8"/>
        <v>0</v>
      </c>
    </row>
    <row r="24" spans="1:13" s="32" customFormat="1" ht="30" x14ac:dyDescent="0.25">
      <c r="A24" s="17">
        <v>13417</v>
      </c>
      <c r="B24" s="8" t="s">
        <v>107</v>
      </c>
      <c r="C24" s="44">
        <v>0</v>
      </c>
      <c r="D24" s="44">
        <v>0</v>
      </c>
      <c r="E24" s="44">
        <v>0</v>
      </c>
      <c r="F24" s="44">
        <v>0</v>
      </c>
      <c r="G24" s="44">
        <f t="shared" si="1"/>
        <v>0</v>
      </c>
      <c r="H24" s="44">
        <f t="shared" si="5"/>
        <v>0</v>
      </c>
      <c r="I24" s="44">
        <f t="shared" si="6"/>
        <v>0</v>
      </c>
      <c r="J24" s="44">
        <f t="shared" si="2"/>
        <v>0</v>
      </c>
      <c r="K24" s="44">
        <f t="shared" si="7"/>
        <v>0</v>
      </c>
      <c r="L24" s="44">
        <f t="shared" si="3"/>
        <v>0</v>
      </c>
      <c r="M24" s="44">
        <f t="shared" si="8"/>
        <v>0</v>
      </c>
    </row>
    <row r="25" spans="1:13" s="72" customFormat="1" ht="20.100000000000001" customHeight="1" x14ac:dyDescent="0.35">
      <c r="A25" s="65">
        <v>1400</v>
      </c>
      <c r="B25" s="71" t="s">
        <v>196</v>
      </c>
      <c r="C25" s="64">
        <f t="shared" ref="C25:M25" si="9">SUM(C26:C33)</f>
        <v>0</v>
      </c>
      <c r="D25" s="64">
        <f t="shared" si="9"/>
        <v>0</v>
      </c>
      <c r="E25" s="64">
        <v>0</v>
      </c>
      <c r="F25" s="64">
        <f t="shared" si="9"/>
        <v>0</v>
      </c>
      <c r="G25" s="64">
        <f t="shared" si="9"/>
        <v>0</v>
      </c>
      <c r="H25" s="64">
        <f t="shared" si="9"/>
        <v>0</v>
      </c>
      <c r="I25" s="64">
        <f t="shared" si="9"/>
        <v>0</v>
      </c>
      <c r="J25" s="64">
        <f t="shared" si="9"/>
        <v>0</v>
      </c>
      <c r="K25" s="64">
        <f t="shared" si="9"/>
        <v>0</v>
      </c>
      <c r="L25" s="64">
        <f t="shared" si="9"/>
        <v>0</v>
      </c>
      <c r="M25" s="64">
        <f t="shared" si="9"/>
        <v>0</v>
      </c>
    </row>
    <row r="26" spans="1:13" s="32" customFormat="1" ht="18.95" customHeight="1" x14ac:dyDescent="0.35">
      <c r="A26" s="17">
        <v>14101</v>
      </c>
      <c r="B26" s="8" t="s">
        <v>35</v>
      </c>
      <c r="C26" s="44"/>
      <c r="D26" s="44">
        <v>0</v>
      </c>
      <c r="E26" s="44">
        <v>0</v>
      </c>
      <c r="F26" s="44">
        <v>0</v>
      </c>
      <c r="G26" s="44">
        <f t="shared" si="1"/>
        <v>0</v>
      </c>
      <c r="H26" s="44">
        <f t="shared" si="5"/>
        <v>0</v>
      </c>
      <c r="I26" s="44">
        <f t="shared" si="6"/>
        <v>0</v>
      </c>
      <c r="J26" s="44">
        <f t="shared" si="2"/>
        <v>0</v>
      </c>
      <c r="K26" s="44">
        <f t="shared" si="7"/>
        <v>0</v>
      </c>
      <c r="L26" s="44">
        <f>K26</f>
        <v>0</v>
      </c>
      <c r="M26" s="44">
        <f t="shared" si="8"/>
        <v>0</v>
      </c>
    </row>
    <row r="27" spans="1:13" s="32" customFormat="1" ht="26.25" customHeight="1" x14ac:dyDescent="0.35">
      <c r="A27" s="17">
        <v>14104</v>
      </c>
      <c r="B27" s="8" t="s">
        <v>139</v>
      </c>
      <c r="C27" s="44"/>
      <c r="D27" s="44">
        <v>0</v>
      </c>
      <c r="E27" s="44">
        <v>0</v>
      </c>
      <c r="F27" s="44">
        <v>0</v>
      </c>
      <c r="G27" s="44">
        <f t="shared" si="1"/>
        <v>0</v>
      </c>
      <c r="H27" s="44">
        <f t="shared" si="5"/>
        <v>0</v>
      </c>
      <c r="I27" s="44">
        <f t="shared" si="6"/>
        <v>0</v>
      </c>
      <c r="J27" s="44">
        <f t="shared" si="2"/>
        <v>0</v>
      </c>
      <c r="K27" s="44">
        <f t="shared" si="7"/>
        <v>0</v>
      </c>
      <c r="L27" s="44">
        <f t="shared" si="3"/>
        <v>0</v>
      </c>
      <c r="M27" s="44"/>
    </row>
    <row r="28" spans="1:13" s="32" customFormat="1" ht="30" x14ac:dyDescent="0.25">
      <c r="A28" s="17">
        <v>14105</v>
      </c>
      <c r="B28" s="8" t="s">
        <v>36</v>
      </c>
      <c r="C28" s="44"/>
      <c r="D28" s="44">
        <v>0</v>
      </c>
      <c r="E28" s="44">
        <v>0</v>
      </c>
      <c r="F28" s="44">
        <v>0</v>
      </c>
      <c r="G28" s="44">
        <f t="shared" si="1"/>
        <v>0</v>
      </c>
      <c r="H28" s="44">
        <f t="shared" si="5"/>
        <v>0</v>
      </c>
      <c r="I28" s="44">
        <f t="shared" si="6"/>
        <v>0</v>
      </c>
      <c r="J28" s="44">
        <f t="shared" si="2"/>
        <v>0</v>
      </c>
      <c r="K28" s="44">
        <f t="shared" si="7"/>
        <v>0</v>
      </c>
      <c r="L28" s="44">
        <f>K28</f>
        <v>0</v>
      </c>
      <c r="M28" s="44">
        <f t="shared" si="8"/>
        <v>0</v>
      </c>
    </row>
    <row r="29" spans="1:13" s="32" customFormat="1" ht="18.95" customHeight="1" x14ac:dyDescent="0.25">
      <c r="A29" s="17">
        <v>14201</v>
      </c>
      <c r="B29" s="8" t="s">
        <v>37</v>
      </c>
      <c r="C29" s="44"/>
      <c r="D29" s="44">
        <v>0</v>
      </c>
      <c r="E29" s="44">
        <v>0</v>
      </c>
      <c r="F29" s="44">
        <v>0</v>
      </c>
      <c r="G29" s="44">
        <f t="shared" si="1"/>
        <v>0</v>
      </c>
      <c r="H29" s="44">
        <f t="shared" si="5"/>
        <v>0</v>
      </c>
      <c r="I29" s="44">
        <f t="shared" si="6"/>
        <v>0</v>
      </c>
      <c r="J29" s="44">
        <f t="shared" si="2"/>
        <v>0</v>
      </c>
      <c r="K29" s="44">
        <f t="shared" si="7"/>
        <v>0</v>
      </c>
      <c r="L29" s="44">
        <f>K29</f>
        <v>0</v>
      </c>
      <c r="M29" s="44">
        <f t="shared" si="8"/>
        <v>0</v>
      </c>
    </row>
    <row r="30" spans="1:13" s="32" customFormat="1" ht="18.95" customHeight="1" x14ac:dyDescent="0.25">
      <c r="A30" s="17">
        <v>14301</v>
      </c>
      <c r="B30" s="8" t="s">
        <v>38</v>
      </c>
      <c r="C30" s="44"/>
      <c r="D30" s="44">
        <v>0</v>
      </c>
      <c r="E30" s="44">
        <v>0</v>
      </c>
      <c r="F30" s="44">
        <v>0</v>
      </c>
      <c r="G30" s="44">
        <f t="shared" si="1"/>
        <v>0</v>
      </c>
      <c r="H30" s="44">
        <f t="shared" si="5"/>
        <v>0</v>
      </c>
      <c r="I30" s="44">
        <f t="shared" si="6"/>
        <v>0</v>
      </c>
      <c r="J30" s="44">
        <f t="shared" si="2"/>
        <v>0</v>
      </c>
      <c r="K30" s="44">
        <f t="shared" si="7"/>
        <v>0</v>
      </c>
      <c r="L30" s="44">
        <f>K30</f>
        <v>0</v>
      </c>
      <c r="M30" s="44">
        <f t="shared" si="8"/>
        <v>0</v>
      </c>
    </row>
    <row r="31" spans="1:13" s="32" customFormat="1" ht="18.95" customHeight="1" x14ac:dyDescent="0.25">
      <c r="A31" s="17">
        <v>14302</v>
      </c>
      <c r="B31" s="8" t="s">
        <v>39</v>
      </c>
      <c r="C31" s="44"/>
      <c r="D31" s="44">
        <v>0</v>
      </c>
      <c r="E31" s="44">
        <v>0</v>
      </c>
      <c r="F31" s="44">
        <v>0</v>
      </c>
      <c r="G31" s="44">
        <f t="shared" si="1"/>
        <v>0</v>
      </c>
      <c r="H31" s="44">
        <f>F31</f>
        <v>0</v>
      </c>
      <c r="I31" s="44">
        <f t="shared" si="6"/>
        <v>0</v>
      </c>
      <c r="J31" s="44">
        <f t="shared" si="2"/>
        <v>0</v>
      </c>
      <c r="K31" s="44">
        <f t="shared" si="7"/>
        <v>0</v>
      </c>
      <c r="L31" s="44">
        <f t="shared" si="3"/>
        <v>0</v>
      </c>
      <c r="M31" s="44">
        <f t="shared" si="8"/>
        <v>0</v>
      </c>
    </row>
    <row r="32" spans="1:13" s="32" customFormat="1" ht="18.95" customHeight="1" x14ac:dyDescent="0.25">
      <c r="A32" s="17">
        <v>14401</v>
      </c>
      <c r="B32" s="8" t="s">
        <v>133</v>
      </c>
      <c r="C32" s="44"/>
      <c r="D32" s="44">
        <v>0</v>
      </c>
      <c r="E32" s="44">
        <v>0</v>
      </c>
      <c r="F32" s="44">
        <v>0</v>
      </c>
      <c r="G32" s="44">
        <f t="shared" si="1"/>
        <v>0</v>
      </c>
      <c r="H32" s="44">
        <f t="shared" si="5"/>
        <v>0</v>
      </c>
      <c r="I32" s="44">
        <f t="shared" si="6"/>
        <v>0</v>
      </c>
      <c r="J32" s="44">
        <f t="shared" si="2"/>
        <v>0</v>
      </c>
      <c r="K32" s="44">
        <f t="shared" si="7"/>
        <v>0</v>
      </c>
      <c r="L32" s="44">
        <f t="shared" si="3"/>
        <v>0</v>
      </c>
      <c r="M32" s="44">
        <f t="shared" si="8"/>
        <v>0</v>
      </c>
    </row>
    <row r="33" spans="1:13" s="32" customFormat="1" ht="18.95" customHeight="1" x14ac:dyDescent="0.25">
      <c r="A33" s="17">
        <v>14405</v>
      </c>
      <c r="B33" s="8" t="s">
        <v>167</v>
      </c>
      <c r="C33" s="44"/>
      <c r="D33" s="44">
        <v>0</v>
      </c>
      <c r="E33" s="44">
        <v>0</v>
      </c>
      <c r="F33" s="44">
        <v>0</v>
      </c>
      <c r="G33" s="44">
        <f t="shared" si="1"/>
        <v>0</v>
      </c>
      <c r="H33" s="44">
        <f t="shared" si="5"/>
        <v>0</v>
      </c>
      <c r="I33" s="44">
        <f t="shared" si="6"/>
        <v>0</v>
      </c>
      <c r="J33" s="44">
        <f t="shared" si="2"/>
        <v>0</v>
      </c>
      <c r="K33" s="44">
        <f t="shared" si="7"/>
        <v>0</v>
      </c>
      <c r="L33" s="44">
        <f t="shared" si="3"/>
        <v>0</v>
      </c>
      <c r="M33" s="44">
        <f t="shared" si="8"/>
        <v>0</v>
      </c>
    </row>
    <row r="34" spans="1:13" s="72" customFormat="1" ht="20.100000000000001" customHeight="1" x14ac:dyDescent="0.25">
      <c r="A34" s="65">
        <v>1500</v>
      </c>
      <c r="B34" s="71" t="s">
        <v>197</v>
      </c>
      <c r="C34" s="64">
        <f t="shared" ref="C34:M34" si="10">SUM(C35:C65)</f>
        <v>0</v>
      </c>
      <c r="D34" s="64">
        <f t="shared" si="10"/>
        <v>0</v>
      </c>
      <c r="E34" s="64">
        <v>0</v>
      </c>
      <c r="F34" s="64">
        <f t="shared" si="10"/>
        <v>0</v>
      </c>
      <c r="G34" s="64">
        <f t="shared" si="10"/>
        <v>0</v>
      </c>
      <c r="H34" s="64">
        <f t="shared" si="10"/>
        <v>0</v>
      </c>
      <c r="I34" s="64">
        <f t="shared" si="10"/>
        <v>0</v>
      </c>
      <c r="J34" s="64">
        <f t="shared" si="10"/>
        <v>0</v>
      </c>
      <c r="K34" s="64">
        <f t="shared" si="10"/>
        <v>0</v>
      </c>
      <c r="L34" s="64">
        <f t="shared" si="10"/>
        <v>0</v>
      </c>
      <c r="M34" s="64">
        <f t="shared" si="10"/>
        <v>0</v>
      </c>
    </row>
    <row r="35" spans="1:13" s="32" customFormat="1" ht="18.95" customHeight="1" x14ac:dyDescent="0.25">
      <c r="A35" s="17">
        <v>15202</v>
      </c>
      <c r="B35" s="8" t="s">
        <v>41</v>
      </c>
      <c r="C35" s="44">
        <v>0</v>
      </c>
      <c r="D35" s="44">
        <v>0</v>
      </c>
      <c r="E35" s="44">
        <v>0</v>
      </c>
      <c r="F35" s="44">
        <v>0</v>
      </c>
      <c r="G35" s="44">
        <f t="shared" si="1"/>
        <v>0</v>
      </c>
      <c r="H35" s="44">
        <f t="shared" si="5"/>
        <v>0</v>
      </c>
      <c r="I35" s="44">
        <f t="shared" si="6"/>
        <v>0</v>
      </c>
      <c r="J35" s="44">
        <f t="shared" si="2"/>
        <v>0</v>
      </c>
      <c r="K35" s="44">
        <f t="shared" si="7"/>
        <v>0</v>
      </c>
      <c r="L35" s="44">
        <f t="shared" si="3"/>
        <v>0</v>
      </c>
      <c r="M35" s="44">
        <f t="shared" si="8"/>
        <v>0</v>
      </c>
    </row>
    <row r="36" spans="1:13" s="32" customFormat="1" ht="18.95" customHeight="1" x14ac:dyDescent="0.25">
      <c r="A36" s="17">
        <v>15203</v>
      </c>
      <c r="B36" s="8" t="s">
        <v>176</v>
      </c>
      <c r="C36" s="44">
        <v>0</v>
      </c>
      <c r="D36" s="44">
        <v>0</v>
      </c>
      <c r="E36" s="44">
        <v>0</v>
      </c>
      <c r="F36" s="44">
        <v>0</v>
      </c>
      <c r="G36" s="44">
        <f t="shared" si="1"/>
        <v>0</v>
      </c>
      <c r="H36" s="44">
        <f t="shared" si="5"/>
        <v>0</v>
      </c>
      <c r="I36" s="44">
        <f t="shared" si="6"/>
        <v>0</v>
      </c>
      <c r="J36" s="44">
        <f t="shared" si="2"/>
        <v>0</v>
      </c>
      <c r="K36" s="44">
        <f t="shared" si="7"/>
        <v>0</v>
      </c>
      <c r="L36" s="44">
        <f t="shared" si="3"/>
        <v>0</v>
      </c>
      <c r="M36" s="44">
        <f t="shared" si="8"/>
        <v>0</v>
      </c>
    </row>
    <row r="37" spans="1:13" s="32" customFormat="1" ht="45" x14ac:dyDescent="0.25">
      <c r="A37" s="17">
        <v>15401</v>
      </c>
      <c r="B37" s="8" t="s">
        <v>42</v>
      </c>
      <c r="C37" s="44">
        <v>0</v>
      </c>
      <c r="D37" s="44">
        <v>0</v>
      </c>
      <c r="E37" s="44">
        <v>0</v>
      </c>
      <c r="F37" s="44">
        <v>0</v>
      </c>
      <c r="G37" s="44">
        <f t="shared" si="1"/>
        <v>0</v>
      </c>
      <c r="H37" s="44">
        <f t="shared" si="5"/>
        <v>0</v>
      </c>
      <c r="I37" s="44">
        <f t="shared" si="6"/>
        <v>0</v>
      </c>
      <c r="J37" s="44">
        <f t="shared" si="2"/>
        <v>0</v>
      </c>
      <c r="K37" s="44">
        <f t="shared" si="7"/>
        <v>0</v>
      </c>
      <c r="L37" s="44">
        <f t="shared" si="3"/>
        <v>0</v>
      </c>
      <c r="M37" s="44">
        <f t="shared" si="8"/>
        <v>0</v>
      </c>
    </row>
    <row r="38" spans="1:13" s="32" customFormat="1" ht="18.95" customHeight="1" x14ac:dyDescent="0.25">
      <c r="A38" s="17">
        <v>15402</v>
      </c>
      <c r="B38" s="8" t="s">
        <v>43</v>
      </c>
      <c r="C38" s="44">
        <v>0</v>
      </c>
      <c r="D38" s="44">
        <v>0</v>
      </c>
      <c r="E38" s="44">
        <v>0</v>
      </c>
      <c r="F38" s="44">
        <v>0</v>
      </c>
      <c r="G38" s="44">
        <f t="shared" si="1"/>
        <v>0</v>
      </c>
      <c r="H38" s="44">
        <f t="shared" si="5"/>
        <v>0</v>
      </c>
      <c r="I38" s="44">
        <f t="shared" si="6"/>
        <v>0</v>
      </c>
      <c r="J38" s="44">
        <f t="shared" si="2"/>
        <v>0</v>
      </c>
      <c r="K38" s="44">
        <f t="shared" si="7"/>
        <v>0</v>
      </c>
      <c r="L38" s="44">
        <f t="shared" si="3"/>
        <v>0</v>
      </c>
      <c r="M38" s="44">
        <f t="shared" si="8"/>
        <v>0</v>
      </c>
    </row>
    <row r="39" spans="1:13" s="32" customFormat="1" ht="18.95" customHeight="1" x14ac:dyDescent="0.25">
      <c r="A39" s="17">
        <v>15404</v>
      </c>
      <c r="B39" s="8" t="s">
        <v>144</v>
      </c>
      <c r="C39" s="44">
        <v>0</v>
      </c>
      <c r="D39" s="44">
        <v>0</v>
      </c>
      <c r="E39" s="44">
        <v>0</v>
      </c>
      <c r="F39" s="44">
        <v>0</v>
      </c>
      <c r="G39" s="44">
        <f t="shared" si="1"/>
        <v>0</v>
      </c>
      <c r="H39" s="44">
        <f t="shared" si="5"/>
        <v>0</v>
      </c>
      <c r="I39" s="44">
        <f t="shared" si="6"/>
        <v>0</v>
      </c>
      <c r="J39" s="44">
        <f t="shared" si="2"/>
        <v>0</v>
      </c>
      <c r="K39" s="44">
        <f t="shared" si="7"/>
        <v>0</v>
      </c>
      <c r="L39" s="44">
        <f t="shared" si="3"/>
        <v>0</v>
      </c>
      <c r="M39" s="44">
        <f t="shared" si="8"/>
        <v>0</v>
      </c>
    </row>
    <row r="40" spans="1:13" s="32" customFormat="1" ht="18.95" customHeight="1" x14ac:dyDescent="0.25">
      <c r="A40" s="17">
        <v>15405</v>
      </c>
      <c r="B40" s="8" t="s">
        <v>130</v>
      </c>
      <c r="C40" s="44">
        <v>0</v>
      </c>
      <c r="D40" s="44">
        <v>0</v>
      </c>
      <c r="E40" s="44">
        <v>0</v>
      </c>
      <c r="F40" s="44">
        <v>0</v>
      </c>
      <c r="G40" s="44">
        <f t="shared" si="1"/>
        <v>0</v>
      </c>
      <c r="H40" s="44">
        <f t="shared" si="5"/>
        <v>0</v>
      </c>
      <c r="I40" s="44">
        <f t="shared" si="6"/>
        <v>0</v>
      </c>
      <c r="J40" s="44">
        <f t="shared" si="2"/>
        <v>0</v>
      </c>
      <c r="K40" s="44">
        <f t="shared" si="7"/>
        <v>0</v>
      </c>
      <c r="L40" s="44">
        <f t="shared" si="3"/>
        <v>0</v>
      </c>
      <c r="M40" s="44">
        <f t="shared" si="8"/>
        <v>0</v>
      </c>
    </row>
    <row r="41" spans="1:13" s="32" customFormat="1" ht="18.95" customHeight="1" x14ac:dyDescent="0.25">
      <c r="A41" s="17">
        <v>15406</v>
      </c>
      <c r="B41" s="8" t="s">
        <v>140</v>
      </c>
      <c r="C41" s="44">
        <v>0</v>
      </c>
      <c r="D41" s="44">
        <v>0</v>
      </c>
      <c r="E41" s="44">
        <v>0</v>
      </c>
      <c r="F41" s="44">
        <v>0</v>
      </c>
      <c r="G41" s="44">
        <f t="shared" si="1"/>
        <v>0</v>
      </c>
      <c r="H41" s="44">
        <f t="shared" si="5"/>
        <v>0</v>
      </c>
      <c r="I41" s="44">
        <f t="shared" si="6"/>
        <v>0</v>
      </c>
      <c r="J41" s="44">
        <f t="shared" si="2"/>
        <v>0</v>
      </c>
      <c r="K41" s="44">
        <f t="shared" si="7"/>
        <v>0</v>
      </c>
      <c r="L41" s="44">
        <f t="shared" si="3"/>
        <v>0</v>
      </c>
      <c r="M41" s="44">
        <f t="shared" si="8"/>
        <v>0</v>
      </c>
    </row>
    <row r="42" spans="1:13" s="32" customFormat="1" ht="18.95" customHeight="1" x14ac:dyDescent="0.25">
      <c r="A42" s="17">
        <v>15407</v>
      </c>
      <c r="B42" s="8" t="s">
        <v>108</v>
      </c>
      <c r="C42" s="44"/>
      <c r="D42" s="44">
        <v>0</v>
      </c>
      <c r="E42" s="44">
        <v>0</v>
      </c>
      <c r="F42" s="44">
        <v>0</v>
      </c>
      <c r="G42" s="44">
        <f t="shared" si="1"/>
        <v>0</v>
      </c>
      <c r="H42" s="44">
        <f t="shared" si="5"/>
        <v>0</v>
      </c>
      <c r="I42" s="44">
        <f t="shared" si="6"/>
        <v>0</v>
      </c>
      <c r="J42" s="44">
        <f t="shared" si="2"/>
        <v>0</v>
      </c>
      <c r="K42" s="44">
        <f t="shared" si="7"/>
        <v>0</v>
      </c>
      <c r="L42" s="44">
        <f t="shared" si="3"/>
        <v>0</v>
      </c>
      <c r="M42" s="44">
        <f t="shared" si="8"/>
        <v>0</v>
      </c>
    </row>
    <row r="43" spans="1:13" s="32" customFormat="1" ht="18.95" customHeight="1" x14ac:dyDescent="0.25">
      <c r="A43" s="17">
        <v>15410</v>
      </c>
      <c r="B43" s="8" t="s">
        <v>109</v>
      </c>
      <c r="C43" s="44">
        <v>0</v>
      </c>
      <c r="D43" s="44">
        <v>0</v>
      </c>
      <c r="E43" s="44">
        <v>0</v>
      </c>
      <c r="F43" s="44">
        <v>0</v>
      </c>
      <c r="G43" s="44">
        <f t="shared" si="1"/>
        <v>0</v>
      </c>
      <c r="H43" s="44">
        <f t="shared" si="5"/>
        <v>0</v>
      </c>
      <c r="I43" s="44">
        <f t="shared" si="6"/>
        <v>0</v>
      </c>
      <c r="J43" s="44">
        <f t="shared" si="2"/>
        <v>0</v>
      </c>
      <c r="K43" s="44">
        <f t="shared" si="7"/>
        <v>0</v>
      </c>
      <c r="L43" s="44">
        <f t="shared" si="3"/>
        <v>0</v>
      </c>
      <c r="M43" s="44">
        <f t="shared" si="8"/>
        <v>0</v>
      </c>
    </row>
    <row r="44" spans="1:13" s="32" customFormat="1" ht="18.95" customHeight="1" x14ac:dyDescent="0.25">
      <c r="A44" s="17">
        <v>15412</v>
      </c>
      <c r="B44" s="8" t="s">
        <v>110</v>
      </c>
      <c r="C44" s="44"/>
      <c r="D44" s="44">
        <v>0</v>
      </c>
      <c r="E44" s="44">
        <v>0</v>
      </c>
      <c r="F44" s="44">
        <v>0</v>
      </c>
      <c r="G44" s="44">
        <f t="shared" si="1"/>
        <v>0</v>
      </c>
      <c r="H44" s="44">
        <f t="shared" si="5"/>
        <v>0</v>
      </c>
      <c r="I44" s="44">
        <f t="shared" si="6"/>
        <v>0</v>
      </c>
      <c r="J44" s="44">
        <f t="shared" si="2"/>
        <v>0</v>
      </c>
      <c r="K44" s="44">
        <f t="shared" si="7"/>
        <v>0</v>
      </c>
      <c r="L44" s="44">
        <f>K44</f>
        <v>0</v>
      </c>
      <c r="M44" s="44">
        <f t="shared" si="8"/>
        <v>0</v>
      </c>
    </row>
    <row r="45" spans="1:13" s="32" customFormat="1" ht="18.95" customHeight="1" x14ac:dyDescent="0.25">
      <c r="A45" s="17">
        <v>15413</v>
      </c>
      <c r="B45" s="8" t="s">
        <v>111</v>
      </c>
      <c r="C45" s="44"/>
      <c r="D45" s="44">
        <v>0</v>
      </c>
      <c r="E45" s="44">
        <v>0</v>
      </c>
      <c r="F45" s="44">
        <v>0</v>
      </c>
      <c r="G45" s="44">
        <f t="shared" si="1"/>
        <v>0</v>
      </c>
      <c r="H45" s="44">
        <f t="shared" si="5"/>
        <v>0</v>
      </c>
      <c r="I45" s="44">
        <f t="shared" si="6"/>
        <v>0</v>
      </c>
      <c r="J45" s="44">
        <f t="shared" si="2"/>
        <v>0</v>
      </c>
      <c r="K45" s="44">
        <f t="shared" si="7"/>
        <v>0</v>
      </c>
      <c r="L45" s="44">
        <f t="shared" si="3"/>
        <v>0</v>
      </c>
      <c r="M45" s="44">
        <f t="shared" si="8"/>
        <v>0</v>
      </c>
    </row>
    <row r="46" spans="1:13" s="32" customFormat="1" ht="18.95" customHeight="1" x14ac:dyDescent="0.25">
      <c r="A46" s="17">
        <v>15414</v>
      </c>
      <c r="B46" s="8" t="s">
        <v>112</v>
      </c>
      <c r="C46" s="44"/>
      <c r="D46" s="44">
        <v>0</v>
      </c>
      <c r="E46" s="44">
        <v>0</v>
      </c>
      <c r="F46" s="44">
        <v>0</v>
      </c>
      <c r="G46" s="44">
        <f t="shared" si="1"/>
        <v>0</v>
      </c>
      <c r="H46" s="44">
        <f t="shared" si="5"/>
        <v>0</v>
      </c>
      <c r="I46" s="44">
        <f t="shared" si="6"/>
        <v>0</v>
      </c>
      <c r="J46" s="44">
        <f t="shared" si="2"/>
        <v>0</v>
      </c>
      <c r="K46" s="44">
        <f t="shared" si="7"/>
        <v>0</v>
      </c>
      <c r="L46" s="44">
        <f t="shared" si="3"/>
        <v>0</v>
      </c>
      <c r="M46" s="44">
        <f t="shared" si="8"/>
        <v>0</v>
      </c>
    </row>
    <row r="47" spans="1:13" s="32" customFormat="1" ht="18.95" customHeight="1" x14ac:dyDescent="0.25">
      <c r="A47" s="17">
        <v>15416</v>
      </c>
      <c r="B47" s="8" t="s">
        <v>40</v>
      </c>
      <c r="C47" s="44">
        <v>0</v>
      </c>
      <c r="D47" s="44">
        <v>0</v>
      </c>
      <c r="E47" s="44">
        <v>0</v>
      </c>
      <c r="F47" s="44">
        <v>0</v>
      </c>
      <c r="G47" s="44">
        <f t="shared" si="1"/>
        <v>0</v>
      </c>
      <c r="H47" s="44">
        <f t="shared" si="5"/>
        <v>0</v>
      </c>
      <c r="I47" s="44">
        <f t="shared" si="6"/>
        <v>0</v>
      </c>
      <c r="J47" s="44">
        <f t="shared" si="2"/>
        <v>0</v>
      </c>
      <c r="K47" s="44">
        <f t="shared" si="7"/>
        <v>0</v>
      </c>
      <c r="L47" s="44">
        <f t="shared" si="3"/>
        <v>0</v>
      </c>
      <c r="M47" s="44">
        <f t="shared" si="8"/>
        <v>0</v>
      </c>
    </row>
    <row r="48" spans="1:13" s="32" customFormat="1" ht="18.95" customHeight="1" x14ac:dyDescent="0.25">
      <c r="A48" s="17">
        <v>15417</v>
      </c>
      <c r="B48" s="8" t="s">
        <v>113</v>
      </c>
      <c r="C48" s="44">
        <v>0</v>
      </c>
      <c r="D48" s="44">
        <v>0</v>
      </c>
      <c r="E48" s="44">
        <v>0</v>
      </c>
      <c r="F48" s="44">
        <v>0</v>
      </c>
      <c r="G48" s="44">
        <f t="shared" si="1"/>
        <v>0</v>
      </c>
      <c r="H48" s="44">
        <f t="shared" si="5"/>
        <v>0</v>
      </c>
      <c r="I48" s="44">
        <f t="shared" si="6"/>
        <v>0</v>
      </c>
      <c r="J48" s="44">
        <f t="shared" si="2"/>
        <v>0</v>
      </c>
      <c r="K48" s="44">
        <f t="shared" si="7"/>
        <v>0</v>
      </c>
      <c r="L48" s="44">
        <f>K48</f>
        <v>0</v>
      </c>
      <c r="M48" s="44">
        <f t="shared" si="8"/>
        <v>0</v>
      </c>
    </row>
    <row r="49" spans="1:13" s="32" customFormat="1" ht="18.95" customHeight="1" x14ac:dyDescent="0.25">
      <c r="A49" s="17">
        <v>15418</v>
      </c>
      <c r="B49" s="8" t="s">
        <v>114</v>
      </c>
      <c r="C49" s="44">
        <v>0</v>
      </c>
      <c r="D49" s="44">
        <v>0</v>
      </c>
      <c r="E49" s="44">
        <v>0</v>
      </c>
      <c r="F49" s="44">
        <v>0</v>
      </c>
      <c r="G49" s="44">
        <f t="shared" si="1"/>
        <v>0</v>
      </c>
      <c r="H49" s="44">
        <f t="shared" si="5"/>
        <v>0</v>
      </c>
      <c r="I49" s="44">
        <f t="shared" si="6"/>
        <v>0</v>
      </c>
      <c r="J49" s="44">
        <f t="shared" si="2"/>
        <v>0</v>
      </c>
      <c r="K49" s="44">
        <f t="shared" si="7"/>
        <v>0</v>
      </c>
      <c r="L49" s="44">
        <f>K49</f>
        <v>0</v>
      </c>
      <c r="M49" s="44">
        <f t="shared" si="8"/>
        <v>0</v>
      </c>
    </row>
    <row r="50" spans="1:13" s="32" customFormat="1" ht="18.95" customHeight="1" x14ac:dyDescent="0.25">
      <c r="A50" s="17">
        <v>15419</v>
      </c>
      <c r="B50" s="8" t="s">
        <v>115</v>
      </c>
      <c r="C50" s="44">
        <v>0</v>
      </c>
      <c r="D50" s="44">
        <v>0</v>
      </c>
      <c r="E50" s="44">
        <v>0</v>
      </c>
      <c r="F50" s="44">
        <v>0</v>
      </c>
      <c r="G50" s="44">
        <f t="shared" si="1"/>
        <v>0</v>
      </c>
      <c r="H50" s="44">
        <f t="shared" si="5"/>
        <v>0</v>
      </c>
      <c r="I50" s="44">
        <f t="shared" si="6"/>
        <v>0</v>
      </c>
      <c r="J50" s="44">
        <f t="shared" si="2"/>
        <v>0</v>
      </c>
      <c r="K50" s="44">
        <f t="shared" si="7"/>
        <v>0</v>
      </c>
      <c r="L50" s="44">
        <f>K50</f>
        <v>0</v>
      </c>
      <c r="M50" s="44">
        <f t="shared" si="8"/>
        <v>0</v>
      </c>
    </row>
    <row r="51" spans="1:13" s="32" customFormat="1" ht="18.95" customHeight="1" x14ac:dyDescent="0.25">
      <c r="A51" s="17">
        <v>15420</v>
      </c>
      <c r="B51" s="8" t="s">
        <v>116</v>
      </c>
      <c r="C51" s="44">
        <v>0</v>
      </c>
      <c r="D51" s="44">
        <v>0</v>
      </c>
      <c r="E51" s="44">
        <v>0</v>
      </c>
      <c r="F51" s="44">
        <v>0</v>
      </c>
      <c r="G51" s="44">
        <f t="shared" si="1"/>
        <v>0</v>
      </c>
      <c r="H51" s="44">
        <f t="shared" si="5"/>
        <v>0</v>
      </c>
      <c r="I51" s="44">
        <f t="shared" si="6"/>
        <v>0</v>
      </c>
      <c r="J51" s="44">
        <f t="shared" si="2"/>
        <v>0</v>
      </c>
      <c r="K51" s="44">
        <f t="shared" si="7"/>
        <v>0</v>
      </c>
      <c r="L51" s="44">
        <f t="shared" si="3"/>
        <v>0</v>
      </c>
      <c r="M51" s="44">
        <f t="shared" si="8"/>
        <v>0</v>
      </c>
    </row>
    <row r="52" spans="1:13" s="32" customFormat="1" ht="18.95" customHeight="1" x14ac:dyDescent="0.25">
      <c r="A52" s="17">
        <v>15421</v>
      </c>
      <c r="B52" s="8" t="s">
        <v>117</v>
      </c>
      <c r="C52" s="44">
        <v>0</v>
      </c>
      <c r="D52" s="44">
        <v>0</v>
      </c>
      <c r="E52" s="44">
        <v>0</v>
      </c>
      <c r="F52" s="44">
        <v>0</v>
      </c>
      <c r="G52" s="44">
        <f t="shared" si="1"/>
        <v>0</v>
      </c>
      <c r="H52" s="44">
        <f t="shared" si="5"/>
        <v>0</v>
      </c>
      <c r="I52" s="44">
        <f t="shared" si="6"/>
        <v>0</v>
      </c>
      <c r="J52" s="44">
        <f t="shared" si="2"/>
        <v>0</v>
      </c>
      <c r="K52" s="44">
        <f t="shared" si="7"/>
        <v>0</v>
      </c>
      <c r="L52" s="44">
        <f t="shared" si="3"/>
        <v>0</v>
      </c>
      <c r="M52" s="44">
        <f t="shared" si="8"/>
        <v>0</v>
      </c>
    </row>
    <row r="53" spans="1:13" s="32" customFormat="1" ht="18.95" customHeight="1" x14ac:dyDescent="0.25">
      <c r="A53" s="17">
        <v>15422</v>
      </c>
      <c r="B53" s="8" t="s">
        <v>118</v>
      </c>
      <c r="C53" s="44"/>
      <c r="D53" s="44">
        <v>0</v>
      </c>
      <c r="E53" s="44">
        <v>0</v>
      </c>
      <c r="F53" s="44">
        <v>0</v>
      </c>
      <c r="G53" s="44">
        <f t="shared" si="1"/>
        <v>0</v>
      </c>
      <c r="H53" s="44">
        <f t="shared" si="5"/>
        <v>0</v>
      </c>
      <c r="I53" s="44">
        <f t="shared" si="6"/>
        <v>0</v>
      </c>
      <c r="J53" s="44">
        <f t="shared" si="2"/>
        <v>0</v>
      </c>
      <c r="K53" s="44">
        <f t="shared" si="7"/>
        <v>0</v>
      </c>
      <c r="L53" s="44">
        <f t="shared" si="3"/>
        <v>0</v>
      </c>
      <c r="M53" s="44">
        <f t="shared" si="8"/>
        <v>0</v>
      </c>
    </row>
    <row r="54" spans="1:13" s="32" customFormat="1" ht="18.95" customHeight="1" x14ac:dyDescent="0.25">
      <c r="A54" s="17">
        <v>15423</v>
      </c>
      <c r="B54" s="8" t="s">
        <v>119</v>
      </c>
      <c r="C54" s="44"/>
      <c r="D54" s="44">
        <v>0</v>
      </c>
      <c r="E54" s="44">
        <v>0</v>
      </c>
      <c r="F54" s="44">
        <v>0</v>
      </c>
      <c r="G54" s="44">
        <f t="shared" si="1"/>
        <v>0</v>
      </c>
      <c r="H54" s="44">
        <f t="shared" si="5"/>
        <v>0</v>
      </c>
      <c r="I54" s="44">
        <f t="shared" si="6"/>
        <v>0</v>
      </c>
      <c r="J54" s="44">
        <f t="shared" si="2"/>
        <v>0</v>
      </c>
      <c r="K54" s="44">
        <f t="shared" si="7"/>
        <v>0</v>
      </c>
      <c r="L54" s="44">
        <f t="shared" si="3"/>
        <v>0</v>
      </c>
      <c r="M54" s="44">
        <f t="shared" si="8"/>
        <v>0</v>
      </c>
    </row>
    <row r="55" spans="1:13" s="32" customFormat="1" ht="18.95" customHeight="1" x14ac:dyDescent="0.25">
      <c r="A55" s="17">
        <v>15424</v>
      </c>
      <c r="B55" s="8" t="s">
        <v>120</v>
      </c>
      <c r="C55" s="44"/>
      <c r="D55" s="44">
        <v>0</v>
      </c>
      <c r="E55" s="44">
        <v>0</v>
      </c>
      <c r="F55" s="44">
        <v>0</v>
      </c>
      <c r="G55" s="44">
        <f t="shared" si="1"/>
        <v>0</v>
      </c>
      <c r="H55" s="44">
        <f t="shared" si="5"/>
        <v>0</v>
      </c>
      <c r="I55" s="44">
        <f t="shared" si="6"/>
        <v>0</v>
      </c>
      <c r="J55" s="44">
        <f t="shared" si="2"/>
        <v>0</v>
      </c>
      <c r="K55" s="44">
        <f t="shared" si="7"/>
        <v>0</v>
      </c>
      <c r="L55" s="44">
        <f t="shared" si="3"/>
        <v>0</v>
      </c>
      <c r="M55" s="44">
        <f t="shared" si="8"/>
        <v>0</v>
      </c>
    </row>
    <row r="56" spans="1:13" s="32" customFormat="1" ht="18.95" customHeight="1" x14ac:dyDescent="0.25">
      <c r="A56" s="17">
        <v>15425</v>
      </c>
      <c r="B56" s="8" t="s">
        <v>121</v>
      </c>
      <c r="C56" s="44">
        <v>0</v>
      </c>
      <c r="D56" s="44">
        <v>0</v>
      </c>
      <c r="E56" s="44">
        <v>0</v>
      </c>
      <c r="F56" s="44">
        <v>0</v>
      </c>
      <c r="G56" s="44">
        <f t="shared" si="1"/>
        <v>0</v>
      </c>
      <c r="H56" s="44">
        <f t="shared" si="5"/>
        <v>0</v>
      </c>
      <c r="I56" s="44">
        <f t="shared" si="6"/>
        <v>0</v>
      </c>
      <c r="J56" s="44">
        <f t="shared" si="2"/>
        <v>0</v>
      </c>
      <c r="K56" s="44">
        <f t="shared" si="7"/>
        <v>0</v>
      </c>
      <c r="L56" s="44">
        <f t="shared" si="3"/>
        <v>0</v>
      </c>
      <c r="M56" s="44">
        <f t="shared" si="8"/>
        <v>0</v>
      </c>
    </row>
    <row r="57" spans="1:13" s="32" customFormat="1" ht="18.95" customHeight="1" x14ac:dyDescent="0.25">
      <c r="A57" s="17">
        <v>15426</v>
      </c>
      <c r="B57" s="8" t="s">
        <v>122</v>
      </c>
      <c r="C57" s="44"/>
      <c r="D57" s="44">
        <v>0</v>
      </c>
      <c r="E57" s="44">
        <v>0</v>
      </c>
      <c r="F57" s="44">
        <v>0</v>
      </c>
      <c r="G57" s="44">
        <f t="shared" si="1"/>
        <v>0</v>
      </c>
      <c r="H57" s="44">
        <f t="shared" si="5"/>
        <v>0</v>
      </c>
      <c r="I57" s="44">
        <f t="shared" si="6"/>
        <v>0</v>
      </c>
      <c r="J57" s="44">
        <f t="shared" si="2"/>
        <v>0</v>
      </c>
      <c r="K57" s="44">
        <f t="shared" si="7"/>
        <v>0</v>
      </c>
      <c r="L57" s="44">
        <f t="shared" si="3"/>
        <v>0</v>
      </c>
      <c r="M57" s="44">
        <f t="shared" si="8"/>
        <v>0</v>
      </c>
    </row>
    <row r="58" spans="1:13" s="32" customFormat="1" ht="18.95" customHeight="1" x14ac:dyDescent="0.25">
      <c r="A58" s="17">
        <v>15428</v>
      </c>
      <c r="B58" s="8" t="s">
        <v>127</v>
      </c>
      <c r="C58" s="44">
        <v>0</v>
      </c>
      <c r="D58" s="44">
        <v>0</v>
      </c>
      <c r="E58" s="44">
        <v>0</v>
      </c>
      <c r="F58" s="44">
        <v>0</v>
      </c>
      <c r="G58" s="44">
        <f t="shared" si="1"/>
        <v>0</v>
      </c>
      <c r="H58" s="44">
        <f t="shared" si="5"/>
        <v>0</v>
      </c>
      <c r="I58" s="44">
        <f t="shared" si="6"/>
        <v>0</v>
      </c>
      <c r="J58" s="44">
        <f t="shared" si="2"/>
        <v>0</v>
      </c>
      <c r="K58" s="44">
        <f t="shared" si="7"/>
        <v>0</v>
      </c>
      <c r="L58" s="44">
        <f t="shared" si="3"/>
        <v>0</v>
      </c>
      <c r="M58" s="44">
        <f t="shared" si="8"/>
        <v>0</v>
      </c>
    </row>
    <row r="59" spans="1:13" s="32" customFormat="1" ht="18.95" customHeight="1" x14ac:dyDescent="0.25">
      <c r="A59" s="17">
        <v>15430</v>
      </c>
      <c r="B59" s="8" t="s">
        <v>123</v>
      </c>
      <c r="C59" s="44"/>
      <c r="D59" s="44">
        <v>0</v>
      </c>
      <c r="E59" s="44">
        <v>0</v>
      </c>
      <c r="F59" s="44">
        <v>0</v>
      </c>
      <c r="G59" s="44">
        <f t="shared" si="1"/>
        <v>0</v>
      </c>
      <c r="H59" s="44">
        <f t="shared" si="5"/>
        <v>0</v>
      </c>
      <c r="I59" s="44">
        <f t="shared" si="6"/>
        <v>0</v>
      </c>
      <c r="J59" s="44">
        <f t="shared" si="2"/>
        <v>0</v>
      </c>
      <c r="K59" s="44">
        <f t="shared" si="7"/>
        <v>0</v>
      </c>
      <c r="L59" s="44">
        <f t="shared" si="3"/>
        <v>0</v>
      </c>
      <c r="M59" s="44">
        <f t="shared" si="8"/>
        <v>0</v>
      </c>
    </row>
    <row r="60" spans="1:13" s="32" customFormat="1" ht="18.95" customHeight="1" x14ac:dyDescent="0.25">
      <c r="A60" s="17">
        <v>15431</v>
      </c>
      <c r="B60" s="8" t="s">
        <v>134</v>
      </c>
      <c r="C60" s="44">
        <v>0</v>
      </c>
      <c r="D60" s="44">
        <v>0</v>
      </c>
      <c r="E60" s="44">
        <v>0</v>
      </c>
      <c r="F60" s="44">
        <v>0</v>
      </c>
      <c r="G60" s="44">
        <f t="shared" si="1"/>
        <v>0</v>
      </c>
      <c r="H60" s="44">
        <f t="shared" si="5"/>
        <v>0</v>
      </c>
      <c r="I60" s="44">
        <f t="shared" si="6"/>
        <v>0</v>
      </c>
      <c r="J60" s="44">
        <f t="shared" si="2"/>
        <v>0</v>
      </c>
      <c r="K60" s="44">
        <f t="shared" si="7"/>
        <v>0</v>
      </c>
      <c r="L60" s="44">
        <f t="shared" si="3"/>
        <v>0</v>
      </c>
      <c r="M60" s="44">
        <f t="shared" si="8"/>
        <v>0</v>
      </c>
    </row>
    <row r="61" spans="1:13" s="32" customFormat="1" ht="18.95" customHeight="1" x14ac:dyDescent="0.25">
      <c r="A61" s="17">
        <v>15432</v>
      </c>
      <c r="B61" s="8" t="s">
        <v>124</v>
      </c>
      <c r="C61" s="44">
        <v>0</v>
      </c>
      <c r="D61" s="44">
        <v>0</v>
      </c>
      <c r="E61" s="44">
        <v>0</v>
      </c>
      <c r="F61" s="44">
        <v>0</v>
      </c>
      <c r="G61" s="44">
        <f t="shared" si="1"/>
        <v>0</v>
      </c>
      <c r="H61" s="44">
        <f t="shared" si="5"/>
        <v>0</v>
      </c>
      <c r="I61" s="44">
        <f t="shared" si="6"/>
        <v>0</v>
      </c>
      <c r="J61" s="44">
        <f t="shared" si="2"/>
        <v>0</v>
      </c>
      <c r="K61" s="44">
        <f t="shared" si="7"/>
        <v>0</v>
      </c>
      <c r="L61" s="44">
        <f t="shared" si="3"/>
        <v>0</v>
      </c>
      <c r="M61" s="44">
        <f t="shared" si="8"/>
        <v>0</v>
      </c>
    </row>
    <row r="62" spans="1:13" s="32" customFormat="1" ht="18.95" customHeight="1" x14ac:dyDescent="0.25">
      <c r="A62" s="17">
        <v>15433</v>
      </c>
      <c r="B62" s="8" t="s">
        <v>145</v>
      </c>
      <c r="C62" s="44"/>
      <c r="D62" s="44">
        <v>0</v>
      </c>
      <c r="E62" s="44">
        <v>0</v>
      </c>
      <c r="F62" s="44">
        <v>0</v>
      </c>
      <c r="G62" s="44">
        <f t="shared" si="1"/>
        <v>0</v>
      </c>
      <c r="H62" s="44">
        <f t="shared" si="5"/>
        <v>0</v>
      </c>
      <c r="I62" s="44">
        <f t="shared" si="6"/>
        <v>0</v>
      </c>
      <c r="J62" s="44">
        <f t="shared" si="2"/>
        <v>0</v>
      </c>
      <c r="K62" s="44">
        <f t="shared" si="7"/>
        <v>0</v>
      </c>
      <c r="L62" s="44">
        <f t="shared" si="3"/>
        <v>0</v>
      </c>
      <c r="M62" s="44">
        <f t="shared" si="8"/>
        <v>0</v>
      </c>
    </row>
    <row r="63" spans="1:13" s="32" customFormat="1" ht="18.95" customHeight="1" x14ac:dyDescent="0.25">
      <c r="A63" s="17">
        <v>15434</v>
      </c>
      <c r="B63" s="8" t="s">
        <v>128</v>
      </c>
      <c r="C63" s="44"/>
      <c r="D63" s="44">
        <v>0</v>
      </c>
      <c r="E63" s="44">
        <v>0</v>
      </c>
      <c r="F63" s="44">
        <v>0</v>
      </c>
      <c r="G63" s="44">
        <f t="shared" si="1"/>
        <v>0</v>
      </c>
      <c r="H63" s="44">
        <f t="shared" si="5"/>
        <v>0</v>
      </c>
      <c r="I63" s="44">
        <f t="shared" si="6"/>
        <v>0</v>
      </c>
      <c r="J63" s="44">
        <f t="shared" si="2"/>
        <v>0</v>
      </c>
      <c r="K63" s="44">
        <f t="shared" si="7"/>
        <v>0</v>
      </c>
      <c r="L63" s="44">
        <f t="shared" si="3"/>
        <v>0</v>
      </c>
      <c r="M63" s="44">
        <f t="shared" si="8"/>
        <v>0</v>
      </c>
    </row>
    <row r="64" spans="1:13" s="32" customFormat="1" ht="18.95" customHeight="1" x14ac:dyDescent="0.25">
      <c r="A64" s="17">
        <v>15901</v>
      </c>
      <c r="B64" s="8" t="s">
        <v>131</v>
      </c>
      <c r="C64" s="44"/>
      <c r="D64" s="44">
        <v>0</v>
      </c>
      <c r="E64" s="44">
        <v>0</v>
      </c>
      <c r="F64" s="44">
        <v>0</v>
      </c>
      <c r="G64" s="44">
        <f t="shared" si="1"/>
        <v>0</v>
      </c>
      <c r="H64" s="44">
        <f t="shared" si="5"/>
        <v>0</v>
      </c>
      <c r="I64" s="44">
        <f t="shared" si="6"/>
        <v>0</v>
      </c>
      <c r="J64" s="44">
        <f t="shared" si="2"/>
        <v>0</v>
      </c>
      <c r="K64" s="44">
        <f t="shared" si="7"/>
        <v>0</v>
      </c>
      <c r="L64" s="44">
        <f t="shared" si="3"/>
        <v>0</v>
      </c>
      <c r="M64" s="44">
        <f t="shared" si="8"/>
        <v>0</v>
      </c>
    </row>
    <row r="65" spans="1:13" s="32" customFormat="1" ht="18.95" customHeight="1" x14ac:dyDescent="0.25">
      <c r="A65" s="17">
        <v>15906</v>
      </c>
      <c r="B65" s="8" t="s">
        <v>135</v>
      </c>
      <c r="C65" s="44"/>
      <c r="D65" s="44">
        <v>0</v>
      </c>
      <c r="E65" s="44">
        <v>0</v>
      </c>
      <c r="F65" s="44">
        <v>0</v>
      </c>
      <c r="G65" s="44">
        <f t="shared" si="1"/>
        <v>0</v>
      </c>
      <c r="H65" s="44">
        <f t="shared" si="5"/>
        <v>0</v>
      </c>
      <c r="I65" s="44">
        <f t="shared" si="6"/>
        <v>0</v>
      </c>
      <c r="J65" s="44">
        <f t="shared" si="2"/>
        <v>0</v>
      </c>
      <c r="K65" s="44">
        <f t="shared" si="7"/>
        <v>0</v>
      </c>
      <c r="L65" s="44">
        <f t="shared" si="3"/>
        <v>0</v>
      </c>
      <c r="M65" s="44">
        <f t="shared" si="8"/>
        <v>0</v>
      </c>
    </row>
    <row r="66" spans="1:13" s="72" customFormat="1" ht="20.100000000000001" hidden="1" customHeight="1" x14ac:dyDescent="0.25">
      <c r="A66" s="65">
        <v>1700</v>
      </c>
      <c r="B66" s="71" t="s">
        <v>198</v>
      </c>
      <c r="C66" s="64">
        <f t="shared" ref="C66:M66" si="11">SUM(C67:C70)</f>
        <v>0</v>
      </c>
      <c r="D66" s="64">
        <f t="shared" si="11"/>
        <v>0</v>
      </c>
      <c r="E66" s="64">
        <v>0</v>
      </c>
      <c r="F66" s="64">
        <f t="shared" si="11"/>
        <v>0</v>
      </c>
      <c r="G66" s="64">
        <f t="shared" si="11"/>
        <v>0</v>
      </c>
      <c r="H66" s="64">
        <f t="shared" si="11"/>
        <v>0</v>
      </c>
      <c r="I66" s="64">
        <f t="shared" si="11"/>
        <v>0</v>
      </c>
      <c r="J66" s="64">
        <f t="shared" si="11"/>
        <v>0</v>
      </c>
      <c r="K66" s="64">
        <f t="shared" si="11"/>
        <v>0</v>
      </c>
      <c r="L66" s="64">
        <f t="shared" si="11"/>
        <v>0</v>
      </c>
      <c r="M66" s="64">
        <f t="shared" si="11"/>
        <v>0</v>
      </c>
    </row>
    <row r="67" spans="1:13" s="32" customFormat="1" ht="18.95" hidden="1" customHeight="1" x14ac:dyDescent="0.25">
      <c r="A67" s="17">
        <v>17101</v>
      </c>
      <c r="B67" s="8" t="s">
        <v>44</v>
      </c>
      <c r="C67" s="44"/>
      <c r="D67" s="44">
        <v>0</v>
      </c>
      <c r="E67" s="44">
        <v>0</v>
      </c>
      <c r="F67" s="44">
        <v>0</v>
      </c>
      <c r="G67" s="44">
        <f t="shared" si="1"/>
        <v>0</v>
      </c>
      <c r="H67" s="44">
        <f t="shared" si="5"/>
        <v>0</v>
      </c>
      <c r="I67" s="44">
        <f t="shared" si="6"/>
        <v>0</v>
      </c>
      <c r="J67" s="44">
        <f t="shared" si="2"/>
        <v>0</v>
      </c>
      <c r="K67" s="44">
        <f t="shared" si="7"/>
        <v>0</v>
      </c>
      <c r="L67" s="44">
        <f t="shared" si="3"/>
        <v>0</v>
      </c>
      <c r="M67" s="44">
        <f t="shared" si="8"/>
        <v>0</v>
      </c>
    </row>
    <row r="68" spans="1:13" s="32" customFormat="1" ht="18.95" hidden="1" customHeight="1" x14ac:dyDescent="0.25">
      <c r="A68" s="17">
        <v>17102</v>
      </c>
      <c r="B68" s="8" t="s">
        <v>45</v>
      </c>
      <c r="C68" s="44">
        <v>0</v>
      </c>
      <c r="D68" s="44">
        <v>0</v>
      </c>
      <c r="E68" s="44">
        <v>0</v>
      </c>
      <c r="F68" s="44">
        <v>0</v>
      </c>
      <c r="G68" s="44">
        <f t="shared" si="1"/>
        <v>0</v>
      </c>
      <c r="H68" s="44">
        <f t="shared" si="5"/>
        <v>0</v>
      </c>
      <c r="I68" s="44">
        <f t="shared" si="6"/>
        <v>0</v>
      </c>
      <c r="J68" s="44">
        <f t="shared" si="2"/>
        <v>0</v>
      </c>
      <c r="K68" s="44">
        <f t="shared" si="7"/>
        <v>0</v>
      </c>
      <c r="L68" s="44">
        <f t="shared" si="3"/>
        <v>0</v>
      </c>
      <c r="M68" s="44">
        <f t="shared" si="8"/>
        <v>0</v>
      </c>
    </row>
    <row r="69" spans="1:13" s="32" customFormat="1" ht="18.95" hidden="1" customHeight="1" x14ac:dyDescent="0.25">
      <c r="A69" s="17">
        <v>17105</v>
      </c>
      <c r="B69" s="8" t="s">
        <v>136</v>
      </c>
      <c r="C69" s="44">
        <v>0</v>
      </c>
      <c r="D69" s="44">
        <v>0</v>
      </c>
      <c r="E69" s="44">
        <v>0</v>
      </c>
      <c r="F69" s="44">
        <v>0</v>
      </c>
      <c r="G69" s="44">
        <f t="shared" si="1"/>
        <v>0</v>
      </c>
      <c r="H69" s="44">
        <f t="shared" si="5"/>
        <v>0</v>
      </c>
      <c r="I69" s="44">
        <f t="shared" si="6"/>
        <v>0</v>
      </c>
      <c r="J69" s="44">
        <f t="shared" si="2"/>
        <v>0</v>
      </c>
      <c r="K69" s="44">
        <f t="shared" si="7"/>
        <v>0</v>
      </c>
      <c r="L69" s="44">
        <f t="shared" si="3"/>
        <v>0</v>
      </c>
      <c r="M69" s="44">
        <f t="shared" si="8"/>
        <v>0</v>
      </c>
    </row>
    <row r="70" spans="1:13" s="32" customFormat="1" ht="18.95" hidden="1" customHeight="1" x14ac:dyDescent="0.25">
      <c r="A70" s="17">
        <v>17106</v>
      </c>
      <c r="B70" s="8" t="s">
        <v>174</v>
      </c>
      <c r="C70" s="44">
        <v>0</v>
      </c>
      <c r="D70" s="44">
        <v>0</v>
      </c>
      <c r="E70" s="44">
        <v>0</v>
      </c>
      <c r="F70" s="44">
        <v>0</v>
      </c>
      <c r="G70" s="44">
        <f t="shared" si="1"/>
        <v>0</v>
      </c>
      <c r="H70" s="44">
        <f t="shared" si="5"/>
        <v>0</v>
      </c>
      <c r="I70" s="44">
        <f t="shared" si="6"/>
        <v>0</v>
      </c>
      <c r="J70" s="44">
        <f t="shared" si="2"/>
        <v>0</v>
      </c>
      <c r="K70" s="44">
        <f t="shared" si="7"/>
        <v>0</v>
      </c>
      <c r="L70" s="44">
        <f t="shared" si="3"/>
        <v>0</v>
      </c>
      <c r="M70" s="44">
        <f t="shared" si="8"/>
        <v>0</v>
      </c>
    </row>
    <row r="71" spans="1:13" s="32" customFormat="1" ht="15.75" thickBot="1" x14ac:dyDescent="0.3">
      <c r="A71" s="74"/>
      <c r="B71" s="75"/>
      <c r="C71" s="46"/>
      <c r="D71" s="46"/>
      <c r="E71" s="46"/>
      <c r="F71" s="46"/>
      <c r="G71" s="46"/>
      <c r="H71" s="46">
        <f t="shared" si="5"/>
        <v>0</v>
      </c>
      <c r="I71" s="46">
        <f t="shared" si="6"/>
        <v>0</v>
      </c>
      <c r="J71" s="46"/>
      <c r="K71" s="46">
        <f t="shared" si="7"/>
        <v>0</v>
      </c>
      <c r="L71" s="46">
        <f t="shared" si="3"/>
        <v>0</v>
      </c>
      <c r="M71" s="46">
        <f t="shared" si="8"/>
        <v>0</v>
      </c>
    </row>
    <row r="72" spans="1:13" s="32" customFormat="1" ht="21.95" customHeight="1" thickBot="1" x14ac:dyDescent="0.3">
      <c r="A72" s="16"/>
      <c r="B72" s="16" t="s">
        <v>98</v>
      </c>
      <c r="C72" s="30">
        <f t="shared" ref="C72:L72" si="12">C9+C11+C13+C25+C34+C66</f>
        <v>0</v>
      </c>
      <c r="D72" s="30">
        <f t="shared" si="12"/>
        <v>0</v>
      </c>
      <c r="E72" s="30">
        <v>0</v>
      </c>
      <c r="F72" s="30">
        <f t="shared" si="12"/>
        <v>0</v>
      </c>
      <c r="G72" s="30">
        <f t="shared" si="12"/>
        <v>0</v>
      </c>
      <c r="H72" s="30">
        <f t="shared" si="12"/>
        <v>0</v>
      </c>
      <c r="I72" s="30">
        <f t="shared" si="12"/>
        <v>0</v>
      </c>
      <c r="J72" s="30">
        <f t="shared" si="12"/>
        <v>0</v>
      </c>
      <c r="K72" s="30">
        <f t="shared" si="12"/>
        <v>0</v>
      </c>
      <c r="L72" s="30">
        <f t="shared" si="12"/>
        <v>0</v>
      </c>
      <c r="M72" s="30">
        <f>SUM(M10:M71)</f>
        <v>0</v>
      </c>
    </row>
    <row r="73" spans="1:13" s="32" customFormat="1" ht="18" customHeight="1" x14ac:dyDescent="0.25">
      <c r="A73" s="76"/>
      <c r="B73" s="76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48"/>
    </row>
    <row r="74" spans="1:13" s="32" customFormat="1" ht="20.100000000000001" customHeight="1" x14ac:dyDescent="0.25">
      <c r="A74" s="65">
        <v>2000</v>
      </c>
      <c r="B74" s="70" t="s">
        <v>18</v>
      </c>
      <c r="C74" s="44" t="s">
        <v>1</v>
      </c>
      <c r="D74" s="44"/>
      <c r="E74" s="44"/>
      <c r="F74" s="44"/>
      <c r="G74" s="44"/>
      <c r="H74" s="44"/>
      <c r="I74" s="44"/>
      <c r="J74" s="44"/>
      <c r="K74" s="44"/>
      <c r="L74" s="44">
        <f t="shared" ref="L74:L163" si="13">K74</f>
        <v>0</v>
      </c>
      <c r="M74" s="44">
        <f>H74-L74</f>
        <v>0</v>
      </c>
    </row>
    <row r="75" spans="1:13" s="72" customFormat="1" ht="28.5" customHeight="1" x14ac:dyDescent="0.25">
      <c r="A75" s="65">
        <v>2100</v>
      </c>
      <c r="B75" s="71" t="s">
        <v>202</v>
      </c>
      <c r="C75" s="64">
        <f>SUM(C76:C81)</f>
        <v>0</v>
      </c>
      <c r="D75" s="64">
        <f t="shared" ref="D75:M75" si="14">SUM(D76:D81)</f>
        <v>91713.75</v>
      </c>
      <c r="E75" s="64">
        <v>91713.75</v>
      </c>
      <c r="F75" s="64">
        <f t="shared" si="14"/>
        <v>91713.75</v>
      </c>
      <c r="G75" s="64">
        <f t="shared" si="14"/>
        <v>0</v>
      </c>
      <c r="H75" s="64">
        <f t="shared" si="14"/>
        <v>91713.75</v>
      </c>
      <c r="I75" s="64">
        <f t="shared" si="14"/>
        <v>0</v>
      </c>
      <c r="J75" s="64">
        <f t="shared" si="14"/>
        <v>0</v>
      </c>
      <c r="K75" s="64">
        <f t="shared" si="14"/>
        <v>91713.75</v>
      </c>
      <c r="L75" s="64">
        <f t="shared" si="14"/>
        <v>91713.75</v>
      </c>
      <c r="M75" s="64">
        <f t="shared" si="14"/>
        <v>0</v>
      </c>
    </row>
    <row r="76" spans="1:13" s="32" customFormat="1" ht="18.95" customHeight="1" x14ac:dyDescent="0.25">
      <c r="A76" s="17">
        <v>21101</v>
      </c>
      <c r="B76" s="8" t="s">
        <v>46</v>
      </c>
      <c r="C76" s="44"/>
      <c r="D76" s="44">
        <v>88382.46</v>
      </c>
      <c r="E76" s="44">
        <v>88382.46</v>
      </c>
      <c r="F76" s="44">
        <v>88382.46</v>
      </c>
      <c r="G76" s="44">
        <f>E76-F76</f>
        <v>0</v>
      </c>
      <c r="H76" s="44">
        <f>F76</f>
        <v>88382.46</v>
      </c>
      <c r="I76" s="44">
        <f>F76-H76</f>
        <v>0</v>
      </c>
      <c r="J76" s="44">
        <f>E76-H76</f>
        <v>0</v>
      </c>
      <c r="K76" s="44">
        <f>F76</f>
        <v>88382.46</v>
      </c>
      <c r="L76" s="44">
        <f t="shared" si="13"/>
        <v>88382.46</v>
      </c>
      <c r="M76" s="44">
        <f>H76-L76</f>
        <v>0</v>
      </c>
    </row>
    <row r="77" spans="1:13" s="32" customFormat="1" ht="18.95" customHeight="1" x14ac:dyDescent="0.25">
      <c r="A77" s="17">
        <v>21201</v>
      </c>
      <c r="B77" s="8" t="s">
        <v>146</v>
      </c>
      <c r="C77" s="44"/>
      <c r="D77" s="44">
        <v>0</v>
      </c>
      <c r="E77" s="44">
        <v>0</v>
      </c>
      <c r="F77" s="44">
        <v>0</v>
      </c>
      <c r="G77" s="44">
        <f t="shared" ref="G77:G114" si="15">E77-F77</f>
        <v>0</v>
      </c>
      <c r="H77" s="44">
        <f>F77</f>
        <v>0</v>
      </c>
      <c r="I77" s="44">
        <f>F77-H77</f>
        <v>0</v>
      </c>
      <c r="J77" s="44">
        <f t="shared" ref="J77:J114" si="16">E77-H77</f>
        <v>0</v>
      </c>
      <c r="K77" s="44">
        <f>F77</f>
        <v>0</v>
      </c>
      <c r="L77" s="44">
        <f t="shared" si="13"/>
        <v>0</v>
      </c>
      <c r="M77" s="44">
        <f>H77-L77</f>
        <v>0</v>
      </c>
    </row>
    <row r="78" spans="1:13" s="32" customFormat="1" ht="30" x14ac:dyDescent="0.25">
      <c r="A78" s="17">
        <v>21401</v>
      </c>
      <c r="B78" s="8" t="s">
        <v>47</v>
      </c>
      <c r="C78" s="44"/>
      <c r="D78" s="44">
        <v>0</v>
      </c>
      <c r="E78" s="44">
        <v>0</v>
      </c>
      <c r="F78" s="44">
        <v>0</v>
      </c>
      <c r="G78" s="44">
        <f t="shared" si="15"/>
        <v>0</v>
      </c>
      <c r="H78" s="44">
        <f t="shared" ref="H78:H114" si="17">F78</f>
        <v>0</v>
      </c>
      <c r="I78" s="44">
        <f t="shared" ref="I78:I114" si="18">F78-H78</f>
        <v>0</v>
      </c>
      <c r="J78" s="44">
        <f t="shared" si="16"/>
        <v>0</v>
      </c>
      <c r="K78" s="44">
        <f t="shared" ref="K78:K114" si="19">F78</f>
        <v>0</v>
      </c>
      <c r="L78" s="44">
        <f t="shared" si="13"/>
        <v>0</v>
      </c>
      <c r="M78" s="44">
        <f t="shared" ref="M78:M114" si="20">H78-L78</f>
        <v>0</v>
      </c>
    </row>
    <row r="79" spans="1:13" s="32" customFormat="1" ht="18.95" customHeight="1" x14ac:dyDescent="0.25">
      <c r="A79" s="17">
        <v>21501</v>
      </c>
      <c r="B79" s="8" t="s">
        <v>48</v>
      </c>
      <c r="C79" s="44"/>
      <c r="D79" s="44">
        <v>0</v>
      </c>
      <c r="E79" s="44">
        <v>0</v>
      </c>
      <c r="F79" s="44">
        <v>0</v>
      </c>
      <c r="G79" s="44">
        <f t="shared" si="15"/>
        <v>0</v>
      </c>
      <c r="H79" s="44">
        <f t="shared" si="17"/>
        <v>0</v>
      </c>
      <c r="I79" s="44">
        <f t="shared" si="18"/>
        <v>0</v>
      </c>
      <c r="J79" s="44">
        <f t="shared" si="16"/>
        <v>0</v>
      </c>
      <c r="K79" s="44">
        <f t="shared" si="19"/>
        <v>0</v>
      </c>
      <c r="L79" s="44">
        <f t="shared" si="13"/>
        <v>0</v>
      </c>
      <c r="M79" s="44">
        <f t="shared" si="20"/>
        <v>0</v>
      </c>
    </row>
    <row r="80" spans="1:13" s="32" customFormat="1" ht="18.95" customHeight="1" x14ac:dyDescent="0.25">
      <c r="A80" s="17">
        <v>21601</v>
      </c>
      <c r="B80" s="8" t="s">
        <v>49</v>
      </c>
      <c r="C80" s="44"/>
      <c r="D80" s="44">
        <v>3331.29</v>
      </c>
      <c r="E80" s="44">
        <v>3331.29</v>
      </c>
      <c r="F80" s="44">
        <v>3331.29</v>
      </c>
      <c r="G80" s="44">
        <f t="shared" si="15"/>
        <v>0</v>
      </c>
      <c r="H80" s="44">
        <f t="shared" si="17"/>
        <v>3331.29</v>
      </c>
      <c r="I80" s="44">
        <f t="shared" si="18"/>
        <v>0</v>
      </c>
      <c r="J80" s="44">
        <f t="shared" si="16"/>
        <v>0</v>
      </c>
      <c r="K80" s="44">
        <f t="shared" si="19"/>
        <v>3331.29</v>
      </c>
      <c r="L80" s="44">
        <f t="shared" si="13"/>
        <v>3331.29</v>
      </c>
      <c r="M80" s="44">
        <f t="shared" si="20"/>
        <v>0</v>
      </c>
    </row>
    <row r="81" spans="1:13" s="32" customFormat="1" ht="30" x14ac:dyDescent="0.25">
      <c r="A81" s="17">
        <v>21701</v>
      </c>
      <c r="B81" s="8" t="s">
        <v>50</v>
      </c>
      <c r="C81" s="44"/>
      <c r="D81" s="44">
        <v>0</v>
      </c>
      <c r="E81" s="44">
        <v>0</v>
      </c>
      <c r="F81" s="44">
        <v>0</v>
      </c>
      <c r="G81" s="44">
        <f t="shared" si="15"/>
        <v>0</v>
      </c>
      <c r="H81" s="44">
        <f t="shared" si="17"/>
        <v>0</v>
      </c>
      <c r="I81" s="44">
        <f t="shared" si="18"/>
        <v>0</v>
      </c>
      <c r="J81" s="44">
        <f t="shared" si="16"/>
        <v>0</v>
      </c>
      <c r="K81" s="44">
        <f t="shared" si="19"/>
        <v>0</v>
      </c>
      <c r="L81" s="44">
        <f t="shared" si="13"/>
        <v>0</v>
      </c>
      <c r="M81" s="44">
        <f t="shared" si="20"/>
        <v>0</v>
      </c>
    </row>
    <row r="82" spans="1:13" s="72" customFormat="1" ht="20.100000000000001" customHeight="1" x14ac:dyDescent="0.25">
      <c r="A82" s="65">
        <v>2200</v>
      </c>
      <c r="B82" s="71" t="s">
        <v>199</v>
      </c>
      <c r="C82" s="64">
        <f>SUM(C83:C84)</f>
        <v>0</v>
      </c>
      <c r="D82" s="64">
        <f t="shared" ref="D82:M82" si="21">SUM(D83:D84)</f>
        <v>0</v>
      </c>
      <c r="E82" s="64">
        <v>0</v>
      </c>
      <c r="F82" s="64">
        <f t="shared" si="21"/>
        <v>0</v>
      </c>
      <c r="G82" s="64">
        <f t="shared" si="21"/>
        <v>0</v>
      </c>
      <c r="H82" s="64">
        <f t="shared" si="21"/>
        <v>0</v>
      </c>
      <c r="I82" s="64">
        <f t="shared" si="21"/>
        <v>0</v>
      </c>
      <c r="J82" s="64">
        <f t="shared" si="21"/>
        <v>0</v>
      </c>
      <c r="K82" s="64">
        <f t="shared" si="21"/>
        <v>0</v>
      </c>
      <c r="L82" s="64">
        <f t="shared" si="21"/>
        <v>0</v>
      </c>
      <c r="M82" s="64">
        <f t="shared" si="21"/>
        <v>0</v>
      </c>
    </row>
    <row r="83" spans="1:13" s="32" customFormat="1" ht="30" x14ac:dyDescent="0.25">
      <c r="A83" s="17">
        <v>22104</v>
      </c>
      <c r="B83" s="8" t="s">
        <v>51</v>
      </c>
      <c r="C83" s="44"/>
      <c r="D83" s="44">
        <v>0</v>
      </c>
      <c r="E83" s="44">
        <v>0</v>
      </c>
      <c r="F83" s="44">
        <v>0</v>
      </c>
      <c r="G83" s="44">
        <f t="shared" si="15"/>
        <v>0</v>
      </c>
      <c r="H83" s="44">
        <f t="shared" si="17"/>
        <v>0</v>
      </c>
      <c r="I83" s="44">
        <f t="shared" si="18"/>
        <v>0</v>
      </c>
      <c r="J83" s="44">
        <f t="shared" si="16"/>
        <v>0</v>
      </c>
      <c r="K83" s="44">
        <f t="shared" si="19"/>
        <v>0</v>
      </c>
      <c r="L83" s="44">
        <f t="shared" si="13"/>
        <v>0</v>
      </c>
      <c r="M83" s="44">
        <f t="shared" si="20"/>
        <v>0</v>
      </c>
    </row>
    <row r="84" spans="1:13" s="32" customFormat="1" ht="18.95" customHeight="1" x14ac:dyDescent="0.25">
      <c r="A84" s="17">
        <v>22301</v>
      </c>
      <c r="B84" s="8" t="s">
        <v>147</v>
      </c>
      <c r="C84" s="44"/>
      <c r="D84" s="44">
        <v>0</v>
      </c>
      <c r="E84" s="44">
        <v>0</v>
      </c>
      <c r="F84" s="44">
        <v>0</v>
      </c>
      <c r="G84" s="44">
        <f t="shared" si="15"/>
        <v>0</v>
      </c>
      <c r="H84" s="44">
        <f t="shared" si="17"/>
        <v>0</v>
      </c>
      <c r="I84" s="44">
        <f t="shared" si="18"/>
        <v>0</v>
      </c>
      <c r="J84" s="44">
        <f t="shared" si="16"/>
        <v>0</v>
      </c>
      <c r="K84" s="44">
        <f t="shared" si="19"/>
        <v>0</v>
      </c>
      <c r="L84" s="44">
        <f t="shared" si="13"/>
        <v>0</v>
      </c>
      <c r="M84" s="44">
        <f t="shared" si="20"/>
        <v>0</v>
      </c>
    </row>
    <row r="85" spans="1:13" s="72" customFormat="1" ht="27.75" customHeight="1" x14ac:dyDescent="0.25">
      <c r="A85" s="65">
        <v>2400</v>
      </c>
      <c r="B85" s="71" t="s">
        <v>200</v>
      </c>
      <c r="C85" s="64">
        <f>SUM(C86:C94)</f>
        <v>1500000</v>
      </c>
      <c r="D85" s="64">
        <f t="shared" ref="D85:M85" si="22">SUM(D86:D94)</f>
        <v>344970.32000000018</v>
      </c>
      <c r="E85" s="64">
        <v>1844970.3200000003</v>
      </c>
      <c r="F85" s="64">
        <f t="shared" si="22"/>
        <v>1844970.3199999998</v>
      </c>
      <c r="G85" s="64">
        <f t="shared" si="22"/>
        <v>0</v>
      </c>
      <c r="H85" s="64">
        <f t="shared" si="22"/>
        <v>1844970.3199999998</v>
      </c>
      <c r="I85" s="64">
        <f t="shared" si="22"/>
        <v>0</v>
      </c>
      <c r="J85" s="64">
        <f t="shared" si="22"/>
        <v>0</v>
      </c>
      <c r="K85" s="64">
        <f t="shared" si="22"/>
        <v>1844970.3199999998</v>
      </c>
      <c r="L85" s="64">
        <f t="shared" si="22"/>
        <v>1844970.3199999998</v>
      </c>
      <c r="M85" s="64">
        <f t="shared" si="22"/>
        <v>0</v>
      </c>
    </row>
    <row r="86" spans="1:13" s="32" customFormat="1" ht="18.95" customHeight="1" x14ac:dyDescent="0.25">
      <c r="A86" s="17">
        <v>24101</v>
      </c>
      <c r="B86" s="8" t="s">
        <v>137</v>
      </c>
      <c r="C86" s="44"/>
      <c r="D86" s="44">
        <v>47549.87</v>
      </c>
      <c r="E86" s="44">
        <v>47549.87</v>
      </c>
      <c r="F86" s="44">
        <v>47549.87</v>
      </c>
      <c r="G86" s="44">
        <f t="shared" si="15"/>
        <v>0</v>
      </c>
      <c r="H86" s="44">
        <f t="shared" si="17"/>
        <v>47549.87</v>
      </c>
      <c r="I86" s="44">
        <f t="shared" si="18"/>
        <v>0</v>
      </c>
      <c r="J86" s="44">
        <f t="shared" si="16"/>
        <v>0</v>
      </c>
      <c r="K86" s="44">
        <f t="shared" si="19"/>
        <v>47549.87</v>
      </c>
      <c r="L86" s="44">
        <f t="shared" si="13"/>
        <v>47549.87</v>
      </c>
      <c r="M86" s="44">
        <f t="shared" si="20"/>
        <v>0</v>
      </c>
    </row>
    <row r="87" spans="1:13" s="32" customFormat="1" ht="18.95" customHeight="1" x14ac:dyDescent="0.25">
      <c r="A87" s="17">
        <v>24201</v>
      </c>
      <c r="B87" s="8" t="s">
        <v>162</v>
      </c>
      <c r="C87" s="44"/>
      <c r="D87" s="44">
        <f>200000-38635.52</f>
        <v>161364.48000000001</v>
      </c>
      <c r="E87" s="44">
        <v>161364.48000000001</v>
      </c>
      <c r="F87" s="44">
        <v>161364.48000000001</v>
      </c>
      <c r="G87" s="44">
        <f t="shared" si="15"/>
        <v>0</v>
      </c>
      <c r="H87" s="44">
        <f t="shared" si="17"/>
        <v>161364.48000000001</v>
      </c>
      <c r="I87" s="44">
        <f t="shared" si="18"/>
        <v>0</v>
      </c>
      <c r="J87" s="44">
        <f t="shared" si="16"/>
        <v>0</v>
      </c>
      <c r="K87" s="44">
        <f t="shared" si="19"/>
        <v>161364.48000000001</v>
      </c>
      <c r="L87" s="44">
        <f t="shared" si="13"/>
        <v>161364.48000000001</v>
      </c>
      <c r="M87" s="44">
        <f t="shared" si="20"/>
        <v>0</v>
      </c>
    </row>
    <row r="88" spans="1:13" s="32" customFormat="1" ht="18.95" customHeight="1" x14ac:dyDescent="0.25">
      <c r="A88" s="17">
        <v>24301</v>
      </c>
      <c r="B88" s="8" t="s">
        <v>148</v>
      </c>
      <c r="C88" s="44"/>
      <c r="D88" s="44">
        <v>10893</v>
      </c>
      <c r="E88" s="44">
        <v>10893</v>
      </c>
      <c r="F88" s="44">
        <v>10893</v>
      </c>
      <c r="G88" s="44">
        <f t="shared" si="15"/>
        <v>0</v>
      </c>
      <c r="H88" s="44">
        <f t="shared" si="17"/>
        <v>10893</v>
      </c>
      <c r="I88" s="44">
        <f t="shared" si="18"/>
        <v>0</v>
      </c>
      <c r="J88" s="44">
        <f t="shared" si="16"/>
        <v>0</v>
      </c>
      <c r="K88" s="44">
        <f t="shared" si="19"/>
        <v>10893</v>
      </c>
      <c r="L88" s="44">
        <f t="shared" si="13"/>
        <v>10893</v>
      </c>
      <c r="M88" s="44">
        <f t="shared" si="20"/>
        <v>0</v>
      </c>
    </row>
    <row r="89" spans="1:13" s="32" customFormat="1" ht="18.95" customHeight="1" x14ac:dyDescent="0.25">
      <c r="A89" s="17">
        <v>24401</v>
      </c>
      <c r="B89" s="8" t="s">
        <v>138</v>
      </c>
      <c r="C89" s="44"/>
      <c r="D89" s="44">
        <v>25247</v>
      </c>
      <c r="E89" s="44">
        <v>25247</v>
      </c>
      <c r="F89" s="44">
        <v>25247</v>
      </c>
      <c r="G89" s="44">
        <f t="shared" si="15"/>
        <v>0</v>
      </c>
      <c r="H89" s="44">
        <f t="shared" si="17"/>
        <v>25247</v>
      </c>
      <c r="I89" s="44">
        <f t="shared" si="18"/>
        <v>0</v>
      </c>
      <c r="J89" s="44">
        <f t="shared" si="16"/>
        <v>0</v>
      </c>
      <c r="K89" s="44">
        <f t="shared" si="19"/>
        <v>25247</v>
      </c>
      <c r="L89" s="44">
        <f t="shared" si="13"/>
        <v>25247</v>
      </c>
      <c r="M89" s="44">
        <f t="shared" si="20"/>
        <v>0</v>
      </c>
    </row>
    <row r="90" spans="1:13" s="32" customFormat="1" ht="18.95" customHeight="1" x14ac:dyDescent="0.25">
      <c r="A90" s="17">
        <v>24501</v>
      </c>
      <c r="B90" s="8" t="s">
        <v>223</v>
      </c>
      <c r="C90" s="44">
        <v>0</v>
      </c>
      <c r="D90" s="44">
        <f>50000-46554.8</f>
        <v>3445.1999999999971</v>
      </c>
      <c r="E90" s="44">
        <v>3445.1999999999971</v>
      </c>
      <c r="F90" s="44">
        <v>3445.2</v>
      </c>
      <c r="G90" s="44">
        <f t="shared" si="15"/>
        <v>0</v>
      </c>
      <c r="H90" s="44">
        <f t="shared" si="17"/>
        <v>3445.2</v>
      </c>
      <c r="I90" s="44">
        <f t="shared" si="18"/>
        <v>0</v>
      </c>
      <c r="J90" s="44">
        <f t="shared" si="16"/>
        <v>0</v>
      </c>
      <c r="K90" s="44">
        <f t="shared" si="19"/>
        <v>3445.2</v>
      </c>
      <c r="L90" s="44">
        <f t="shared" si="13"/>
        <v>3445.2</v>
      </c>
      <c r="M90" s="44">
        <f t="shared" si="20"/>
        <v>0</v>
      </c>
    </row>
    <row r="91" spans="1:13" s="32" customFormat="1" ht="18.95" customHeight="1" x14ac:dyDescent="0.25">
      <c r="A91" s="17">
        <v>24601</v>
      </c>
      <c r="B91" s="8" t="s">
        <v>52</v>
      </c>
      <c r="C91" s="44"/>
      <c r="D91" s="44">
        <f>100000+277928.21</f>
        <v>377928.21</v>
      </c>
      <c r="E91" s="44">
        <v>377928.21</v>
      </c>
      <c r="F91" s="44">
        <v>377928.21</v>
      </c>
      <c r="G91" s="44">
        <f t="shared" si="15"/>
        <v>0</v>
      </c>
      <c r="H91" s="44">
        <f t="shared" si="17"/>
        <v>377928.21</v>
      </c>
      <c r="I91" s="44">
        <f t="shared" si="18"/>
        <v>0</v>
      </c>
      <c r="J91" s="44">
        <f t="shared" si="16"/>
        <v>0</v>
      </c>
      <c r="K91" s="44">
        <f t="shared" si="19"/>
        <v>377928.21</v>
      </c>
      <c r="L91" s="44">
        <f t="shared" si="13"/>
        <v>377928.21</v>
      </c>
      <c r="M91" s="44">
        <f t="shared" si="20"/>
        <v>0</v>
      </c>
    </row>
    <row r="92" spans="1:13" s="32" customFormat="1" ht="18.95" customHeight="1" x14ac:dyDescent="0.25">
      <c r="A92" s="17">
        <v>24701</v>
      </c>
      <c r="B92" s="8" t="s">
        <v>221</v>
      </c>
      <c r="C92" s="44"/>
      <c r="D92" s="44">
        <f>100000+180087.42</f>
        <v>280087.42000000004</v>
      </c>
      <c r="E92" s="44">
        <v>280087.42000000004</v>
      </c>
      <c r="F92" s="44">
        <v>280087.42</v>
      </c>
      <c r="G92" s="44">
        <f t="shared" si="15"/>
        <v>0</v>
      </c>
      <c r="H92" s="44">
        <f t="shared" si="17"/>
        <v>280087.42</v>
      </c>
      <c r="I92" s="44">
        <f t="shared" si="18"/>
        <v>0</v>
      </c>
      <c r="J92" s="44">
        <f t="shared" si="16"/>
        <v>0</v>
      </c>
      <c r="K92" s="44">
        <f t="shared" si="19"/>
        <v>280087.42</v>
      </c>
      <c r="L92" s="44">
        <f t="shared" si="13"/>
        <v>280087.42</v>
      </c>
      <c r="M92" s="44">
        <f t="shared" si="20"/>
        <v>0</v>
      </c>
    </row>
    <row r="93" spans="1:13" s="32" customFormat="1" ht="18.95" customHeight="1" x14ac:dyDescent="0.25">
      <c r="A93" s="17">
        <v>24801</v>
      </c>
      <c r="B93" s="8" t="s">
        <v>53</v>
      </c>
      <c r="C93" s="44"/>
      <c r="D93" s="44">
        <f>150000+41832.25</f>
        <v>191832.25</v>
      </c>
      <c r="E93" s="44">
        <v>191832.25</v>
      </c>
      <c r="F93" s="44">
        <v>191832.25</v>
      </c>
      <c r="G93" s="44">
        <f t="shared" si="15"/>
        <v>0</v>
      </c>
      <c r="H93" s="44">
        <f t="shared" si="17"/>
        <v>191832.25</v>
      </c>
      <c r="I93" s="44">
        <f t="shared" si="18"/>
        <v>0</v>
      </c>
      <c r="J93" s="44">
        <f t="shared" si="16"/>
        <v>0</v>
      </c>
      <c r="K93" s="44">
        <f t="shared" si="19"/>
        <v>191832.25</v>
      </c>
      <c r="L93" s="44">
        <f t="shared" si="13"/>
        <v>191832.25</v>
      </c>
      <c r="M93" s="44">
        <f t="shared" si="20"/>
        <v>0</v>
      </c>
    </row>
    <row r="94" spans="1:13" s="32" customFormat="1" ht="28.5" customHeight="1" x14ac:dyDescent="0.25">
      <c r="A94" s="17">
        <v>24901</v>
      </c>
      <c r="B94" s="8" t="s">
        <v>54</v>
      </c>
      <c r="C94" s="44">
        <v>1500000</v>
      </c>
      <c r="D94" s="44">
        <f>-192766-560611.11</f>
        <v>-753377.11</v>
      </c>
      <c r="E94" s="44">
        <v>746622.89</v>
      </c>
      <c r="F94" s="44">
        <v>746622.89</v>
      </c>
      <c r="G94" s="44">
        <f t="shared" si="15"/>
        <v>0</v>
      </c>
      <c r="H94" s="44">
        <f t="shared" si="17"/>
        <v>746622.89</v>
      </c>
      <c r="I94" s="44">
        <f t="shared" si="18"/>
        <v>0</v>
      </c>
      <c r="J94" s="44">
        <f t="shared" si="16"/>
        <v>0</v>
      </c>
      <c r="K94" s="44">
        <f t="shared" si="19"/>
        <v>746622.89</v>
      </c>
      <c r="L94" s="44">
        <f t="shared" si="13"/>
        <v>746622.89</v>
      </c>
      <c r="M94" s="44">
        <f t="shared" si="20"/>
        <v>0</v>
      </c>
    </row>
    <row r="95" spans="1:13" s="72" customFormat="1" ht="28.5" customHeight="1" x14ac:dyDescent="0.25">
      <c r="A95" s="65">
        <v>2500</v>
      </c>
      <c r="B95" s="71" t="s">
        <v>201</v>
      </c>
      <c r="C95" s="64">
        <f>SUM(C96:C102)</f>
        <v>135000</v>
      </c>
      <c r="D95" s="64">
        <f t="shared" ref="D95:M95" si="23">SUM(D96:D102)</f>
        <v>-70120.450000000026</v>
      </c>
      <c r="E95" s="64">
        <v>64879.549999999974</v>
      </c>
      <c r="F95" s="64">
        <f t="shared" si="23"/>
        <v>64879.55</v>
      </c>
      <c r="G95" s="64">
        <f t="shared" si="23"/>
        <v>0</v>
      </c>
      <c r="H95" s="64">
        <f t="shared" si="23"/>
        <v>64879.55</v>
      </c>
      <c r="I95" s="64">
        <f t="shared" si="23"/>
        <v>0</v>
      </c>
      <c r="J95" s="64">
        <f t="shared" si="23"/>
        <v>0</v>
      </c>
      <c r="K95" s="64">
        <f t="shared" si="23"/>
        <v>64879.55</v>
      </c>
      <c r="L95" s="64">
        <f t="shared" si="23"/>
        <v>64879.55</v>
      </c>
      <c r="M95" s="64">
        <f t="shared" si="23"/>
        <v>0</v>
      </c>
    </row>
    <row r="96" spans="1:13" s="32" customFormat="1" ht="18.95" customHeight="1" x14ac:dyDescent="0.25">
      <c r="A96" s="17">
        <v>25101</v>
      </c>
      <c r="B96" s="8" t="s">
        <v>55</v>
      </c>
      <c r="C96" s="44"/>
      <c r="D96" s="44">
        <f>200000-176804.63</f>
        <v>23195.369999999995</v>
      </c>
      <c r="E96" s="44">
        <v>23195.369999999995</v>
      </c>
      <c r="F96" s="44">
        <v>23195.37</v>
      </c>
      <c r="G96" s="44">
        <f t="shared" si="15"/>
        <v>0</v>
      </c>
      <c r="H96" s="44">
        <f t="shared" si="17"/>
        <v>23195.37</v>
      </c>
      <c r="I96" s="44">
        <f t="shared" si="18"/>
        <v>0</v>
      </c>
      <c r="J96" s="44">
        <f t="shared" si="16"/>
        <v>0</v>
      </c>
      <c r="K96" s="44">
        <f t="shared" si="19"/>
        <v>23195.37</v>
      </c>
      <c r="L96" s="44">
        <f t="shared" si="13"/>
        <v>23195.37</v>
      </c>
      <c r="M96" s="44">
        <f t="shared" si="20"/>
        <v>0</v>
      </c>
    </row>
    <row r="97" spans="1:13" s="32" customFormat="1" ht="18.95" customHeight="1" x14ac:dyDescent="0.25">
      <c r="A97" s="17">
        <v>25201</v>
      </c>
      <c r="B97" s="8" t="s">
        <v>56</v>
      </c>
      <c r="C97" s="44">
        <v>10000</v>
      </c>
      <c r="D97" s="44">
        <v>-10000</v>
      </c>
      <c r="E97" s="44">
        <v>0</v>
      </c>
      <c r="F97" s="44">
        <v>0</v>
      </c>
      <c r="G97" s="44">
        <f t="shared" si="15"/>
        <v>0</v>
      </c>
      <c r="H97" s="44">
        <f t="shared" si="17"/>
        <v>0</v>
      </c>
      <c r="I97" s="44">
        <f t="shared" si="18"/>
        <v>0</v>
      </c>
      <c r="J97" s="44">
        <f t="shared" si="16"/>
        <v>0</v>
      </c>
      <c r="K97" s="44">
        <f t="shared" si="19"/>
        <v>0</v>
      </c>
      <c r="L97" s="44">
        <f t="shared" si="13"/>
        <v>0</v>
      </c>
      <c r="M97" s="44">
        <f t="shared" si="20"/>
        <v>0</v>
      </c>
    </row>
    <row r="98" spans="1:13" s="32" customFormat="1" ht="18.95" customHeight="1" x14ac:dyDescent="0.25">
      <c r="A98" s="17">
        <v>25301</v>
      </c>
      <c r="B98" s="8" t="s">
        <v>57</v>
      </c>
      <c r="C98" s="44"/>
      <c r="D98" s="44">
        <v>0</v>
      </c>
      <c r="E98" s="44">
        <v>0</v>
      </c>
      <c r="F98" s="44">
        <v>0</v>
      </c>
      <c r="G98" s="44">
        <f t="shared" si="15"/>
        <v>0</v>
      </c>
      <c r="H98" s="44">
        <f t="shared" si="17"/>
        <v>0</v>
      </c>
      <c r="I98" s="44">
        <f t="shared" si="18"/>
        <v>0</v>
      </c>
      <c r="J98" s="44">
        <f t="shared" si="16"/>
        <v>0</v>
      </c>
      <c r="K98" s="44">
        <f t="shared" si="19"/>
        <v>0</v>
      </c>
      <c r="L98" s="44">
        <f t="shared" si="13"/>
        <v>0</v>
      </c>
      <c r="M98" s="44">
        <f t="shared" si="20"/>
        <v>0</v>
      </c>
    </row>
    <row r="99" spans="1:13" s="32" customFormat="1" ht="18.95" customHeight="1" x14ac:dyDescent="0.25">
      <c r="A99" s="17">
        <v>25401</v>
      </c>
      <c r="B99" s="8" t="s">
        <v>58</v>
      </c>
      <c r="C99" s="44">
        <v>25000</v>
      </c>
      <c r="D99" s="44">
        <v>-25000</v>
      </c>
      <c r="E99" s="44">
        <v>0</v>
      </c>
      <c r="F99" s="44">
        <v>0</v>
      </c>
      <c r="G99" s="44">
        <f t="shared" si="15"/>
        <v>0</v>
      </c>
      <c r="H99" s="44">
        <f t="shared" si="17"/>
        <v>0</v>
      </c>
      <c r="I99" s="44">
        <f t="shared" si="18"/>
        <v>0</v>
      </c>
      <c r="J99" s="44">
        <f t="shared" si="16"/>
        <v>0</v>
      </c>
      <c r="K99" s="44">
        <f t="shared" si="19"/>
        <v>0</v>
      </c>
      <c r="L99" s="44">
        <f t="shared" si="13"/>
        <v>0</v>
      </c>
      <c r="M99" s="44">
        <f t="shared" si="20"/>
        <v>0</v>
      </c>
    </row>
    <row r="100" spans="1:13" s="32" customFormat="1" ht="30" x14ac:dyDescent="0.25">
      <c r="A100" s="17">
        <v>25501</v>
      </c>
      <c r="B100" s="8" t="s">
        <v>59</v>
      </c>
      <c r="C100" s="44">
        <v>100000</v>
      </c>
      <c r="D100" s="44">
        <f>200000-266829.77</f>
        <v>-66829.770000000019</v>
      </c>
      <c r="E100" s="44">
        <v>33170.229999999981</v>
      </c>
      <c r="F100" s="44">
        <v>33170.230000000003</v>
      </c>
      <c r="G100" s="44">
        <f t="shared" si="15"/>
        <v>0</v>
      </c>
      <c r="H100" s="44">
        <f t="shared" si="17"/>
        <v>33170.230000000003</v>
      </c>
      <c r="I100" s="44">
        <f t="shared" si="18"/>
        <v>0</v>
      </c>
      <c r="J100" s="44">
        <f t="shared" si="16"/>
        <v>0</v>
      </c>
      <c r="K100" s="44">
        <f t="shared" si="19"/>
        <v>33170.230000000003</v>
      </c>
      <c r="L100" s="44">
        <f t="shared" si="13"/>
        <v>33170.230000000003</v>
      </c>
      <c r="M100" s="44">
        <f t="shared" si="20"/>
        <v>0</v>
      </c>
    </row>
    <row r="101" spans="1:13" s="32" customFormat="1" ht="30" x14ac:dyDescent="0.25">
      <c r="A101" s="17">
        <v>25601</v>
      </c>
      <c r="B101" s="8" t="s">
        <v>230</v>
      </c>
      <c r="C101" s="44"/>
      <c r="D101" s="44">
        <v>8513.9500000000007</v>
      </c>
      <c r="E101" s="44">
        <v>8513.9500000000007</v>
      </c>
      <c r="F101" s="44">
        <v>8513.9500000000007</v>
      </c>
      <c r="G101" s="44">
        <f t="shared" ref="G101" si="24">E101-F101</f>
        <v>0</v>
      </c>
      <c r="H101" s="44">
        <f t="shared" ref="H101" si="25">F101</f>
        <v>8513.9500000000007</v>
      </c>
      <c r="I101" s="44">
        <f t="shared" ref="I101" si="26">F101-H101</f>
        <v>0</v>
      </c>
      <c r="J101" s="44">
        <f t="shared" ref="J101" si="27">E101-H101</f>
        <v>0</v>
      </c>
      <c r="K101" s="44">
        <f t="shared" ref="K101" si="28">F101</f>
        <v>8513.9500000000007</v>
      </c>
      <c r="L101" s="44">
        <f t="shared" ref="L101" si="29">K101</f>
        <v>8513.9500000000007</v>
      </c>
      <c r="M101" s="44">
        <f t="shared" ref="M101" si="30">H101-L101</f>
        <v>0</v>
      </c>
    </row>
    <row r="102" spans="1:13" s="32" customFormat="1" ht="18.95" customHeight="1" x14ac:dyDescent="0.25">
      <c r="A102" s="17">
        <v>25901</v>
      </c>
      <c r="B102" s="8" t="s">
        <v>242</v>
      </c>
      <c r="C102" s="44">
        <v>0</v>
      </c>
      <c r="D102" s="44">
        <v>0</v>
      </c>
      <c r="E102" s="44">
        <v>0</v>
      </c>
      <c r="F102" s="44">
        <v>0</v>
      </c>
      <c r="G102" s="44">
        <f t="shared" si="15"/>
        <v>0</v>
      </c>
      <c r="H102" s="44">
        <f t="shared" si="17"/>
        <v>0</v>
      </c>
      <c r="I102" s="44">
        <f t="shared" si="18"/>
        <v>0</v>
      </c>
      <c r="J102" s="44">
        <f t="shared" si="16"/>
        <v>0</v>
      </c>
      <c r="K102" s="44">
        <f t="shared" si="19"/>
        <v>0</v>
      </c>
      <c r="L102" s="44">
        <f t="shared" si="13"/>
        <v>0</v>
      </c>
      <c r="M102" s="44">
        <f t="shared" si="20"/>
        <v>0</v>
      </c>
    </row>
    <row r="103" spans="1:13" s="72" customFormat="1" ht="20.100000000000001" customHeight="1" x14ac:dyDescent="0.25">
      <c r="A103" s="65">
        <v>2600</v>
      </c>
      <c r="B103" s="71" t="s">
        <v>203</v>
      </c>
      <c r="C103" s="64">
        <f>SUM(C104:C104)</f>
        <v>0</v>
      </c>
      <c r="D103" s="64">
        <f>SUM(D104:D104)</f>
        <v>0</v>
      </c>
      <c r="E103" s="64">
        <v>0</v>
      </c>
      <c r="F103" s="64">
        <f t="shared" ref="F103:M103" si="31">F104</f>
        <v>0</v>
      </c>
      <c r="G103" s="64">
        <f t="shared" si="31"/>
        <v>0</v>
      </c>
      <c r="H103" s="64">
        <f t="shared" si="31"/>
        <v>0</v>
      </c>
      <c r="I103" s="64">
        <f t="shared" si="31"/>
        <v>0</v>
      </c>
      <c r="J103" s="64">
        <f t="shared" si="31"/>
        <v>0</v>
      </c>
      <c r="K103" s="64">
        <f t="shared" si="31"/>
        <v>0</v>
      </c>
      <c r="L103" s="64">
        <f t="shared" si="31"/>
        <v>0</v>
      </c>
      <c r="M103" s="64">
        <f t="shared" si="31"/>
        <v>0</v>
      </c>
    </row>
    <row r="104" spans="1:13" s="32" customFormat="1" ht="30" x14ac:dyDescent="0.25">
      <c r="A104" s="17">
        <v>26104</v>
      </c>
      <c r="B104" s="8" t="s">
        <v>141</v>
      </c>
      <c r="C104" s="44"/>
      <c r="D104" s="44">
        <v>0</v>
      </c>
      <c r="E104" s="44">
        <v>0</v>
      </c>
      <c r="F104" s="44">
        <v>0</v>
      </c>
      <c r="G104" s="44">
        <f t="shared" si="15"/>
        <v>0</v>
      </c>
      <c r="H104" s="44">
        <f t="shared" si="17"/>
        <v>0</v>
      </c>
      <c r="I104" s="44">
        <f t="shared" si="18"/>
        <v>0</v>
      </c>
      <c r="J104" s="44">
        <f t="shared" si="16"/>
        <v>0</v>
      </c>
      <c r="K104" s="44">
        <f t="shared" si="19"/>
        <v>0</v>
      </c>
      <c r="L104" s="44">
        <f t="shared" si="13"/>
        <v>0</v>
      </c>
      <c r="M104" s="44">
        <f t="shared" si="20"/>
        <v>0</v>
      </c>
    </row>
    <row r="105" spans="1:13" s="72" customFormat="1" ht="30" x14ac:dyDescent="0.25">
      <c r="A105" s="65">
        <v>2700</v>
      </c>
      <c r="B105" s="71" t="s">
        <v>204</v>
      </c>
      <c r="C105" s="64">
        <f>SUM(C106:C108)</f>
        <v>965000</v>
      </c>
      <c r="D105" s="64">
        <f t="shared" ref="D105:M105" si="32">SUM(D106:D108)</f>
        <v>-837593.72</v>
      </c>
      <c r="E105" s="64">
        <v>127406.27999999998</v>
      </c>
      <c r="F105" s="64">
        <f t="shared" si="32"/>
        <v>127406.28</v>
      </c>
      <c r="G105" s="64">
        <f t="shared" si="32"/>
        <v>0</v>
      </c>
      <c r="H105" s="64">
        <f t="shared" si="32"/>
        <v>127406.28</v>
      </c>
      <c r="I105" s="64">
        <f t="shared" si="32"/>
        <v>0</v>
      </c>
      <c r="J105" s="64">
        <f t="shared" si="32"/>
        <v>0</v>
      </c>
      <c r="K105" s="64">
        <f t="shared" si="32"/>
        <v>127406.28</v>
      </c>
      <c r="L105" s="64">
        <f t="shared" si="32"/>
        <v>127406.28</v>
      </c>
      <c r="M105" s="64">
        <f t="shared" si="32"/>
        <v>0</v>
      </c>
    </row>
    <row r="106" spans="1:13" s="32" customFormat="1" ht="18.95" customHeight="1" x14ac:dyDescent="0.25">
      <c r="A106" s="17">
        <v>27101</v>
      </c>
      <c r="B106" s="8" t="s">
        <v>60</v>
      </c>
      <c r="C106" s="44">
        <v>965000</v>
      </c>
      <c r="D106" s="44">
        <v>-837702.76</v>
      </c>
      <c r="E106" s="44">
        <v>127297.23999999999</v>
      </c>
      <c r="F106" s="44">
        <v>127297.24</v>
      </c>
      <c r="G106" s="44">
        <f t="shared" si="15"/>
        <v>0</v>
      </c>
      <c r="H106" s="44">
        <f t="shared" si="17"/>
        <v>127297.24</v>
      </c>
      <c r="I106" s="44">
        <f t="shared" si="18"/>
        <v>0</v>
      </c>
      <c r="J106" s="44">
        <f t="shared" si="16"/>
        <v>0</v>
      </c>
      <c r="K106" s="44">
        <f t="shared" si="19"/>
        <v>127297.24</v>
      </c>
      <c r="L106" s="44">
        <f t="shared" si="13"/>
        <v>127297.24</v>
      </c>
      <c r="M106" s="44">
        <f t="shared" si="20"/>
        <v>0</v>
      </c>
    </row>
    <row r="107" spans="1:13" s="32" customFormat="1" ht="18.95" customHeight="1" x14ac:dyDescent="0.25">
      <c r="A107" s="17">
        <v>27201</v>
      </c>
      <c r="B107" s="8" t="s">
        <v>61</v>
      </c>
      <c r="C107" s="44"/>
      <c r="D107" s="44">
        <v>109.04</v>
      </c>
      <c r="E107" s="44">
        <v>109.04</v>
      </c>
      <c r="F107" s="44">
        <v>109.04</v>
      </c>
      <c r="G107" s="44">
        <f t="shared" si="15"/>
        <v>0</v>
      </c>
      <c r="H107" s="44">
        <f t="shared" si="17"/>
        <v>109.04</v>
      </c>
      <c r="I107" s="44">
        <f t="shared" si="18"/>
        <v>0</v>
      </c>
      <c r="J107" s="44">
        <f t="shared" si="16"/>
        <v>0</v>
      </c>
      <c r="K107" s="44">
        <f t="shared" si="19"/>
        <v>109.04</v>
      </c>
      <c r="L107" s="44">
        <f t="shared" si="13"/>
        <v>109.04</v>
      </c>
      <c r="M107" s="44">
        <f t="shared" si="20"/>
        <v>0</v>
      </c>
    </row>
    <row r="108" spans="1:13" s="32" customFormat="1" ht="18.95" customHeight="1" x14ac:dyDescent="0.25">
      <c r="A108" s="17">
        <v>27301</v>
      </c>
      <c r="B108" s="8" t="s">
        <v>62</v>
      </c>
      <c r="C108" s="44"/>
      <c r="D108" s="44">
        <v>0</v>
      </c>
      <c r="E108" s="44">
        <v>0</v>
      </c>
      <c r="F108" s="44">
        <v>0</v>
      </c>
      <c r="G108" s="44">
        <f t="shared" si="15"/>
        <v>0</v>
      </c>
      <c r="H108" s="44">
        <f t="shared" si="17"/>
        <v>0</v>
      </c>
      <c r="I108" s="44">
        <f t="shared" si="18"/>
        <v>0</v>
      </c>
      <c r="J108" s="44">
        <f t="shared" si="16"/>
        <v>0</v>
      </c>
      <c r="K108" s="44">
        <f t="shared" si="19"/>
        <v>0</v>
      </c>
      <c r="L108" s="44">
        <f t="shared" si="13"/>
        <v>0</v>
      </c>
      <c r="M108" s="44">
        <f t="shared" si="20"/>
        <v>0</v>
      </c>
    </row>
    <row r="109" spans="1:13" s="72" customFormat="1" ht="30" x14ac:dyDescent="0.25">
      <c r="A109" s="65">
        <v>2900</v>
      </c>
      <c r="B109" s="71" t="s">
        <v>205</v>
      </c>
      <c r="C109" s="64">
        <f t="shared" ref="C109:M109" si="33">SUM(C110:C114)</f>
        <v>0</v>
      </c>
      <c r="D109" s="64">
        <f t="shared" si="33"/>
        <v>102903.87</v>
      </c>
      <c r="E109" s="64">
        <v>102903.87</v>
      </c>
      <c r="F109" s="64">
        <f t="shared" si="33"/>
        <v>102903.87</v>
      </c>
      <c r="G109" s="64">
        <f t="shared" si="33"/>
        <v>0</v>
      </c>
      <c r="H109" s="64">
        <f t="shared" si="33"/>
        <v>102903.87</v>
      </c>
      <c r="I109" s="64">
        <f t="shared" si="33"/>
        <v>0</v>
      </c>
      <c r="J109" s="64">
        <f t="shared" si="33"/>
        <v>0</v>
      </c>
      <c r="K109" s="64">
        <f t="shared" si="33"/>
        <v>102903.87</v>
      </c>
      <c r="L109" s="64">
        <f t="shared" si="33"/>
        <v>102903.87</v>
      </c>
      <c r="M109" s="64">
        <f t="shared" si="33"/>
        <v>0</v>
      </c>
    </row>
    <row r="110" spans="1:13" s="32" customFormat="1" ht="18.95" customHeight="1" x14ac:dyDescent="0.25">
      <c r="A110" s="17">
        <v>29101</v>
      </c>
      <c r="B110" s="8" t="s">
        <v>63</v>
      </c>
      <c r="C110" s="44"/>
      <c r="D110" s="44">
        <f>50000+8372.48</f>
        <v>58372.479999999996</v>
      </c>
      <c r="E110" s="44">
        <v>58372.479999999996</v>
      </c>
      <c r="F110" s="44">
        <v>58372.480000000003</v>
      </c>
      <c r="G110" s="44">
        <f t="shared" si="15"/>
        <v>0</v>
      </c>
      <c r="H110" s="44">
        <f t="shared" si="17"/>
        <v>58372.480000000003</v>
      </c>
      <c r="I110" s="44">
        <f t="shared" si="18"/>
        <v>0</v>
      </c>
      <c r="J110" s="44">
        <f t="shared" si="16"/>
        <v>0</v>
      </c>
      <c r="K110" s="44">
        <f t="shared" si="19"/>
        <v>58372.480000000003</v>
      </c>
      <c r="L110" s="44">
        <f t="shared" si="13"/>
        <v>58372.480000000003</v>
      </c>
      <c r="M110" s="44">
        <f t="shared" si="20"/>
        <v>0</v>
      </c>
    </row>
    <row r="111" spans="1:13" s="32" customFormat="1" ht="18.95" customHeight="1" x14ac:dyDescent="0.25">
      <c r="A111" s="17">
        <v>29201</v>
      </c>
      <c r="B111" s="8" t="s">
        <v>94</v>
      </c>
      <c r="C111" s="44"/>
      <c r="D111" s="44">
        <v>2912.91</v>
      </c>
      <c r="E111" s="44">
        <v>2912.91</v>
      </c>
      <c r="F111" s="44">
        <v>2912.91</v>
      </c>
      <c r="G111" s="44">
        <f t="shared" si="15"/>
        <v>0</v>
      </c>
      <c r="H111" s="44">
        <f t="shared" si="17"/>
        <v>2912.91</v>
      </c>
      <c r="I111" s="44">
        <f t="shared" si="18"/>
        <v>0</v>
      </c>
      <c r="J111" s="44">
        <f t="shared" si="16"/>
        <v>0</v>
      </c>
      <c r="K111" s="44">
        <f t="shared" si="19"/>
        <v>2912.91</v>
      </c>
      <c r="L111" s="44">
        <f t="shared" si="13"/>
        <v>2912.91</v>
      </c>
      <c r="M111" s="44">
        <f t="shared" si="20"/>
        <v>0</v>
      </c>
    </row>
    <row r="112" spans="1:13" s="32" customFormat="1" ht="25.5" customHeight="1" x14ac:dyDescent="0.25">
      <c r="A112" s="17">
        <v>29301</v>
      </c>
      <c r="B112" s="8" t="s">
        <v>163</v>
      </c>
      <c r="C112" s="44"/>
      <c r="D112" s="44">
        <v>0</v>
      </c>
      <c r="E112" s="44">
        <v>0</v>
      </c>
      <c r="F112" s="44">
        <v>0</v>
      </c>
      <c r="G112" s="44">
        <f t="shared" si="15"/>
        <v>0</v>
      </c>
      <c r="H112" s="44">
        <f t="shared" si="17"/>
        <v>0</v>
      </c>
      <c r="I112" s="44">
        <f t="shared" si="18"/>
        <v>0</v>
      </c>
      <c r="J112" s="44">
        <f t="shared" si="16"/>
        <v>0</v>
      </c>
      <c r="K112" s="44">
        <f t="shared" si="19"/>
        <v>0</v>
      </c>
      <c r="L112" s="44">
        <f t="shared" si="13"/>
        <v>0</v>
      </c>
      <c r="M112" s="44">
        <f t="shared" si="20"/>
        <v>0</v>
      </c>
    </row>
    <row r="113" spans="1:13" s="32" customFormat="1" ht="30" x14ac:dyDescent="0.25">
      <c r="A113" s="17">
        <v>29401</v>
      </c>
      <c r="B113" s="8" t="s">
        <v>64</v>
      </c>
      <c r="C113" s="44"/>
      <c r="D113" s="44">
        <v>41618.480000000003</v>
      </c>
      <c r="E113" s="44">
        <v>41618.480000000003</v>
      </c>
      <c r="F113" s="44">
        <v>41618.480000000003</v>
      </c>
      <c r="G113" s="44">
        <f t="shared" si="15"/>
        <v>0</v>
      </c>
      <c r="H113" s="44">
        <f t="shared" si="17"/>
        <v>41618.480000000003</v>
      </c>
      <c r="I113" s="44">
        <f t="shared" si="18"/>
        <v>0</v>
      </c>
      <c r="J113" s="44">
        <f t="shared" si="16"/>
        <v>0</v>
      </c>
      <c r="K113" s="44">
        <f t="shared" si="19"/>
        <v>41618.480000000003</v>
      </c>
      <c r="L113" s="44">
        <f t="shared" si="13"/>
        <v>41618.480000000003</v>
      </c>
      <c r="M113" s="44">
        <f t="shared" si="20"/>
        <v>0</v>
      </c>
    </row>
    <row r="114" spans="1:13" s="32" customFormat="1" ht="30" x14ac:dyDescent="0.25">
      <c r="A114" s="17">
        <v>29601</v>
      </c>
      <c r="B114" s="8" t="s">
        <v>226</v>
      </c>
      <c r="C114" s="44"/>
      <c r="D114" s="44">
        <v>0</v>
      </c>
      <c r="E114" s="44">
        <v>0</v>
      </c>
      <c r="F114" s="44">
        <v>0</v>
      </c>
      <c r="G114" s="44">
        <f t="shared" si="15"/>
        <v>0</v>
      </c>
      <c r="H114" s="44">
        <f t="shared" si="17"/>
        <v>0</v>
      </c>
      <c r="I114" s="44">
        <f t="shared" si="18"/>
        <v>0</v>
      </c>
      <c r="J114" s="44">
        <f t="shared" si="16"/>
        <v>0</v>
      </c>
      <c r="K114" s="44">
        <f t="shared" si="19"/>
        <v>0</v>
      </c>
      <c r="L114" s="44">
        <f t="shared" si="13"/>
        <v>0</v>
      </c>
      <c r="M114" s="44">
        <f t="shared" si="20"/>
        <v>0</v>
      </c>
    </row>
    <row r="115" spans="1:13" s="32" customFormat="1" ht="17.100000000000001" customHeight="1" thickBot="1" x14ac:dyDescent="0.3">
      <c r="A115" s="74"/>
      <c r="B115" s="77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</row>
    <row r="116" spans="1:13" s="32" customFormat="1" ht="21.95" customHeight="1" thickBot="1" x14ac:dyDescent="0.3">
      <c r="A116" s="16"/>
      <c r="B116" s="78" t="s">
        <v>99</v>
      </c>
      <c r="C116" s="30">
        <f t="shared" ref="C116:L116" si="34">C75+C82+C85+C95+C103+C105+C109</f>
        <v>2600000</v>
      </c>
      <c r="D116" s="30">
        <f t="shared" si="34"/>
        <v>-368126.22999999981</v>
      </c>
      <c r="E116" s="30">
        <v>2231873.7700000005</v>
      </c>
      <c r="F116" s="30">
        <f t="shared" si="34"/>
        <v>2231873.77</v>
      </c>
      <c r="G116" s="30">
        <f t="shared" si="34"/>
        <v>0</v>
      </c>
      <c r="H116" s="30">
        <f t="shared" si="34"/>
        <v>2231873.77</v>
      </c>
      <c r="I116" s="30">
        <f t="shared" si="34"/>
        <v>0</v>
      </c>
      <c r="J116" s="30">
        <f t="shared" si="34"/>
        <v>0</v>
      </c>
      <c r="K116" s="30">
        <f t="shared" si="34"/>
        <v>2231873.77</v>
      </c>
      <c r="L116" s="30">
        <f t="shared" si="34"/>
        <v>2231873.77</v>
      </c>
      <c r="M116" s="30">
        <f>SUM(M76:M115)</f>
        <v>0</v>
      </c>
    </row>
    <row r="117" spans="1:13" s="32" customFormat="1" x14ac:dyDescent="0.25">
      <c r="A117" s="79"/>
      <c r="B117" s="80"/>
      <c r="C117" s="48"/>
      <c r="D117" s="48"/>
      <c r="E117" s="48"/>
      <c r="F117" s="48"/>
      <c r="G117" s="48"/>
      <c r="H117" s="48"/>
      <c r="I117" s="48"/>
      <c r="J117" s="48"/>
      <c r="K117" s="48"/>
      <c r="L117" s="44"/>
      <c r="M117" s="48"/>
    </row>
    <row r="118" spans="1:13" s="32" customFormat="1" ht="20.100000000000001" customHeight="1" x14ac:dyDescent="0.25">
      <c r="A118" s="65">
        <v>3000</v>
      </c>
      <c r="B118" s="70" t="s">
        <v>103</v>
      </c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</row>
    <row r="119" spans="1:13" s="72" customFormat="1" ht="20.100000000000001" customHeight="1" x14ac:dyDescent="0.25">
      <c r="A119" s="65">
        <v>3100</v>
      </c>
      <c r="B119" s="70" t="s">
        <v>206</v>
      </c>
      <c r="C119" s="64">
        <f>SUM(C120:C124)</f>
        <v>0</v>
      </c>
      <c r="D119" s="64">
        <f t="shared" ref="D119:M119" si="35">SUM(D120:D124)</f>
        <v>0</v>
      </c>
      <c r="E119" s="64">
        <v>0</v>
      </c>
      <c r="F119" s="64">
        <f t="shared" si="35"/>
        <v>0</v>
      </c>
      <c r="G119" s="64">
        <f t="shared" si="35"/>
        <v>0</v>
      </c>
      <c r="H119" s="64">
        <f t="shared" si="35"/>
        <v>0</v>
      </c>
      <c r="I119" s="64">
        <f t="shared" si="35"/>
        <v>0</v>
      </c>
      <c r="J119" s="64">
        <f t="shared" si="35"/>
        <v>0</v>
      </c>
      <c r="K119" s="64">
        <f t="shared" si="35"/>
        <v>0</v>
      </c>
      <c r="L119" s="64">
        <f t="shared" si="35"/>
        <v>0</v>
      </c>
      <c r="M119" s="64">
        <f t="shared" si="35"/>
        <v>0</v>
      </c>
    </row>
    <row r="120" spans="1:13" s="32" customFormat="1" ht="18.95" customHeight="1" x14ac:dyDescent="0.25">
      <c r="A120" s="17">
        <v>31101</v>
      </c>
      <c r="B120" s="8" t="s">
        <v>91</v>
      </c>
      <c r="C120" s="44"/>
      <c r="D120" s="44">
        <v>0</v>
      </c>
      <c r="E120" s="44">
        <v>0</v>
      </c>
      <c r="F120" s="44">
        <v>0</v>
      </c>
      <c r="G120" s="44">
        <f>E120-F120</f>
        <v>0</v>
      </c>
      <c r="H120" s="44">
        <f>F120</f>
        <v>0</v>
      </c>
      <c r="I120" s="44">
        <f>F120-H120</f>
        <v>0</v>
      </c>
      <c r="J120" s="44">
        <f>E120-H120</f>
        <v>0</v>
      </c>
      <c r="K120" s="44">
        <f>F120</f>
        <v>0</v>
      </c>
      <c r="L120" s="44">
        <f t="shared" si="13"/>
        <v>0</v>
      </c>
      <c r="M120" s="44">
        <f>H120-L120</f>
        <v>0</v>
      </c>
    </row>
    <row r="121" spans="1:13" s="32" customFormat="1" ht="18.95" customHeight="1" x14ac:dyDescent="0.25">
      <c r="A121" s="17">
        <v>31301</v>
      </c>
      <c r="B121" s="8" t="s">
        <v>65</v>
      </c>
      <c r="C121" s="44"/>
      <c r="D121" s="44">
        <v>0</v>
      </c>
      <c r="E121" s="44">
        <v>0</v>
      </c>
      <c r="F121" s="44">
        <v>0</v>
      </c>
      <c r="G121" s="44">
        <f t="shared" ref="G121:G170" si="36">E121-F121</f>
        <v>0</v>
      </c>
      <c r="H121" s="44">
        <f t="shared" ref="H121:H170" si="37">F121</f>
        <v>0</v>
      </c>
      <c r="I121" s="44">
        <f t="shared" ref="I121:I170" si="38">F121-H121</f>
        <v>0</v>
      </c>
      <c r="J121" s="44">
        <f t="shared" ref="J121:J170" si="39">E121-H121</f>
        <v>0</v>
      </c>
      <c r="K121" s="44">
        <f t="shared" ref="K121:K170" si="40">F121</f>
        <v>0</v>
      </c>
      <c r="L121" s="44">
        <f t="shared" si="13"/>
        <v>0</v>
      </c>
      <c r="M121" s="44">
        <f t="shared" ref="M121:M170" si="41">H121-L121</f>
        <v>0</v>
      </c>
    </row>
    <row r="122" spans="1:13" s="32" customFormat="1" ht="18.95" customHeight="1" x14ac:dyDescent="0.25">
      <c r="A122" s="17">
        <v>31401</v>
      </c>
      <c r="B122" s="8" t="s">
        <v>92</v>
      </c>
      <c r="C122" s="44"/>
      <c r="D122" s="44">
        <v>0</v>
      </c>
      <c r="E122" s="44">
        <v>0</v>
      </c>
      <c r="F122" s="44">
        <v>0</v>
      </c>
      <c r="G122" s="44">
        <f t="shared" si="36"/>
        <v>0</v>
      </c>
      <c r="H122" s="44">
        <f t="shared" si="37"/>
        <v>0</v>
      </c>
      <c r="I122" s="44">
        <f t="shared" si="38"/>
        <v>0</v>
      </c>
      <c r="J122" s="44">
        <f t="shared" si="39"/>
        <v>0</v>
      </c>
      <c r="K122" s="44">
        <f t="shared" si="40"/>
        <v>0</v>
      </c>
      <c r="L122" s="44">
        <f t="shared" si="13"/>
        <v>0</v>
      </c>
      <c r="M122" s="44">
        <f t="shared" si="41"/>
        <v>0</v>
      </c>
    </row>
    <row r="123" spans="1:13" s="32" customFormat="1" ht="18.95" customHeight="1" x14ac:dyDescent="0.25">
      <c r="A123" s="17">
        <v>31602</v>
      </c>
      <c r="B123" s="8" t="s">
        <v>66</v>
      </c>
      <c r="C123" s="44"/>
      <c r="D123" s="44">
        <v>0</v>
      </c>
      <c r="E123" s="44">
        <v>0</v>
      </c>
      <c r="F123" s="44">
        <v>0</v>
      </c>
      <c r="G123" s="44">
        <f t="shared" si="36"/>
        <v>0</v>
      </c>
      <c r="H123" s="44">
        <f t="shared" si="37"/>
        <v>0</v>
      </c>
      <c r="I123" s="44">
        <f t="shared" si="38"/>
        <v>0</v>
      </c>
      <c r="J123" s="44">
        <f t="shared" si="39"/>
        <v>0</v>
      </c>
      <c r="K123" s="44">
        <f t="shared" si="40"/>
        <v>0</v>
      </c>
      <c r="L123" s="44">
        <f t="shared" si="13"/>
        <v>0</v>
      </c>
      <c r="M123" s="44">
        <f t="shared" si="41"/>
        <v>0</v>
      </c>
    </row>
    <row r="124" spans="1:13" s="32" customFormat="1" ht="18.95" customHeight="1" x14ac:dyDescent="0.25">
      <c r="A124" s="17">
        <v>31801</v>
      </c>
      <c r="B124" s="8" t="s">
        <v>67</v>
      </c>
      <c r="C124" s="44"/>
      <c r="D124" s="44">
        <v>0</v>
      </c>
      <c r="E124" s="44">
        <v>0</v>
      </c>
      <c r="F124" s="44">
        <v>0</v>
      </c>
      <c r="G124" s="44">
        <f t="shared" si="36"/>
        <v>0</v>
      </c>
      <c r="H124" s="44">
        <f t="shared" si="37"/>
        <v>0</v>
      </c>
      <c r="I124" s="44">
        <f t="shared" si="38"/>
        <v>0</v>
      </c>
      <c r="J124" s="44">
        <f t="shared" si="39"/>
        <v>0</v>
      </c>
      <c r="K124" s="44">
        <f t="shared" si="40"/>
        <v>0</v>
      </c>
      <c r="L124" s="44">
        <f t="shared" si="13"/>
        <v>0</v>
      </c>
      <c r="M124" s="44">
        <f t="shared" si="41"/>
        <v>0</v>
      </c>
    </row>
    <row r="125" spans="1:13" s="72" customFormat="1" ht="20.100000000000001" customHeight="1" x14ac:dyDescent="0.25">
      <c r="A125" s="65">
        <v>3200</v>
      </c>
      <c r="B125" s="71" t="s">
        <v>207</v>
      </c>
      <c r="C125" s="64">
        <f>SUM(C126:C128)</f>
        <v>0</v>
      </c>
      <c r="D125" s="64">
        <f t="shared" ref="D125:M125" si="42">SUM(D126:D128)</f>
        <v>0</v>
      </c>
      <c r="E125" s="64">
        <v>0</v>
      </c>
      <c r="F125" s="64">
        <f t="shared" si="42"/>
        <v>0</v>
      </c>
      <c r="G125" s="64">
        <f t="shared" si="42"/>
        <v>0</v>
      </c>
      <c r="H125" s="64">
        <f t="shared" si="42"/>
        <v>0</v>
      </c>
      <c r="I125" s="64">
        <f t="shared" si="42"/>
        <v>0</v>
      </c>
      <c r="J125" s="64">
        <f t="shared" si="42"/>
        <v>0</v>
      </c>
      <c r="K125" s="64">
        <f t="shared" si="42"/>
        <v>0</v>
      </c>
      <c r="L125" s="64">
        <f t="shared" si="42"/>
        <v>0</v>
      </c>
      <c r="M125" s="64">
        <f t="shared" si="42"/>
        <v>0</v>
      </c>
    </row>
    <row r="126" spans="1:13" s="32" customFormat="1" ht="18.95" customHeight="1" x14ac:dyDescent="0.25">
      <c r="A126" s="17">
        <v>32201</v>
      </c>
      <c r="B126" s="8" t="s">
        <v>68</v>
      </c>
      <c r="C126" s="44"/>
      <c r="D126" s="44">
        <v>0</v>
      </c>
      <c r="E126" s="44">
        <v>0</v>
      </c>
      <c r="F126" s="44">
        <v>0</v>
      </c>
      <c r="G126" s="44">
        <f t="shared" si="36"/>
        <v>0</v>
      </c>
      <c r="H126" s="44">
        <f t="shared" si="37"/>
        <v>0</v>
      </c>
      <c r="I126" s="44">
        <f t="shared" si="38"/>
        <v>0</v>
      </c>
      <c r="J126" s="44">
        <f t="shared" si="39"/>
        <v>0</v>
      </c>
      <c r="K126" s="44">
        <f t="shared" si="40"/>
        <v>0</v>
      </c>
      <c r="L126" s="44">
        <f t="shared" si="13"/>
        <v>0</v>
      </c>
      <c r="M126" s="44">
        <f t="shared" si="41"/>
        <v>0</v>
      </c>
    </row>
    <row r="127" spans="1:13" s="32" customFormat="1" ht="18.95" customHeight="1" x14ac:dyDescent="0.25">
      <c r="A127" s="17">
        <v>32303</v>
      </c>
      <c r="B127" s="8" t="s">
        <v>164</v>
      </c>
      <c r="C127" s="44">
        <v>0</v>
      </c>
      <c r="D127" s="44">
        <v>0</v>
      </c>
      <c r="E127" s="44">
        <v>0</v>
      </c>
      <c r="F127" s="44">
        <v>0</v>
      </c>
      <c r="G127" s="44">
        <f t="shared" si="36"/>
        <v>0</v>
      </c>
      <c r="H127" s="44">
        <f t="shared" si="37"/>
        <v>0</v>
      </c>
      <c r="I127" s="44">
        <f t="shared" si="38"/>
        <v>0</v>
      </c>
      <c r="J127" s="44">
        <f t="shared" si="39"/>
        <v>0</v>
      </c>
      <c r="K127" s="44">
        <f t="shared" si="40"/>
        <v>0</v>
      </c>
      <c r="L127" s="44">
        <f t="shared" si="13"/>
        <v>0</v>
      </c>
      <c r="M127" s="44">
        <f t="shared" si="41"/>
        <v>0</v>
      </c>
    </row>
    <row r="128" spans="1:13" s="32" customFormat="1" ht="18.95" customHeight="1" x14ac:dyDescent="0.25">
      <c r="A128" s="17">
        <v>32701</v>
      </c>
      <c r="B128" s="8" t="s">
        <v>96</v>
      </c>
      <c r="C128" s="44"/>
      <c r="D128" s="44">
        <v>0</v>
      </c>
      <c r="E128" s="44">
        <v>0</v>
      </c>
      <c r="F128" s="44">
        <v>0</v>
      </c>
      <c r="G128" s="44">
        <f t="shared" si="36"/>
        <v>0</v>
      </c>
      <c r="H128" s="44">
        <f t="shared" si="37"/>
        <v>0</v>
      </c>
      <c r="I128" s="44">
        <f t="shared" si="38"/>
        <v>0</v>
      </c>
      <c r="J128" s="44">
        <f t="shared" si="39"/>
        <v>0</v>
      </c>
      <c r="K128" s="44">
        <f t="shared" si="40"/>
        <v>0</v>
      </c>
      <c r="L128" s="44">
        <f t="shared" si="13"/>
        <v>0</v>
      </c>
      <c r="M128" s="44">
        <f t="shared" si="41"/>
        <v>0</v>
      </c>
    </row>
    <row r="129" spans="1:13" s="72" customFormat="1" ht="30" x14ac:dyDescent="0.25">
      <c r="A129" s="65">
        <v>3300</v>
      </c>
      <c r="B129" s="71" t="s">
        <v>208</v>
      </c>
      <c r="C129" s="64">
        <f t="shared" ref="C129:M129" si="43">SUM(C130:C139)</f>
        <v>2000000</v>
      </c>
      <c r="D129" s="64">
        <f t="shared" si="43"/>
        <v>-203270.3</v>
      </c>
      <c r="E129" s="64">
        <v>1796729.7</v>
      </c>
      <c r="F129" s="64">
        <f t="shared" si="43"/>
        <v>1796729.7</v>
      </c>
      <c r="G129" s="64">
        <f t="shared" si="43"/>
        <v>0</v>
      </c>
      <c r="H129" s="64">
        <f t="shared" si="43"/>
        <v>1796729.7</v>
      </c>
      <c r="I129" s="64">
        <f t="shared" si="43"/>
        <v>0</v>
      </c>
      <c r="J129" s="64">
        <f t="shared" si="43"/>
        <v>0</v>
      </c>
      <c r="K129" s="64">
        <f t="shared" si="43"/>
        <v>1796729.7</v>
      </c>
      <c r="L129" s="64">
        <f t="shared" si="43"/>
        <v>1796729.7</v>
      </c>
      <c r="M129" s="64">
        <f t="shared" si="43"/>
        <v>0</v>
      </c>
    </row>
    <row r="130" spans="1:13" s="32" customFormat="1" ht="30" x14ac:dyDescent="0.25">
      <c r="A130" s="17">
        <v>33101</v>
      </c>
      <c r="B130" s="8" t="s">
        <v>69</v>
      </c>
      <c r="C130" s="44"/>
      <c r="D130" s="44">
        <v>0</v>
      </c>
      <c r="E130" s="44">
        <v>0</v>
      </c>
      <c r="F130" s="44">
        <v>0</v>
      </c>
      <c r="G130" s="44">
        <f t="shared" si="36"/>
        <v>0</v>
      </c>
      <c r="H130" s="44">
        <f t="shared" si="37"/>
        <v>0</v>
      </c>
      <c r="I130" s="44">
        <f t="shared" si="38"/>
        <v>0</v>
      </c>
      <c r="J130" s="44">
        <f t="shared" si="39"/>
        <v>0</v>
      </c>
      <c r="K130" s="44">
        <f t="shared" si="40"/>
        <v>0</v>
      </c>
      <c r="L130" s="44">
        <f t="shared" si="13"/>
        <v>0</v>
      </c>
      <c r="M130" s="44">
        <f t="shared" si="41"/>
        <v>0</v>
      </c>
    </row>
    <row r="131" spans="1:13" s="32" customFormat="1" ht="18.95" customHeight="1" x14ac:dyDescent="0.25">
      <c r="A131" s="17">
        <v>33104</v>
      </c>
      <c r="B131" s="8" t="s">
        <v>228</v>
      </c>
      <c r="C131" s="44"/>
      <c r="D131" s="44">
        <v>0</v>
      </c>
      <c r="E131" s="44">
        <v>0</v>
      </c>
      <c r="F131" s="44">
        <v>0</v>
      </c>
      <c r="G131" s="44">
        <f t="shared" si="36"/>
        <v>0</v>
      </c>
      <c r="H131" s="44">
        <f t="shared" si="37"/>
        <v>0</v>
      </c>
      <c r="I131" s="44">
        <f t="shared" si="38"/>
        <v>0</v>
      </c>
      <c r="J131" s="44">
        <f t="shared" si="39"/>
        <v>0</v>
      </c>
      <c r="K131" s="44">
        <f t="shared" si="40"/>
        <v>0</v>
      </c>
      <c r="L131" s="44">
        <f t="shared" si="13"/>
        <v>0</v>
      </c>
      <c r="M131" s="44">
        <f t="shared" si="41"/>
        <v>0</v>
      </c>
    </row>
    <row r="132" spans="1:13" s="32" customFormat="1" ht="30" x14ac:dyDescent="0.25">
      <c r="A132" s="17">
        <v>33201</v>
      </c>
      <c r="B132" s="8" t="s">
        <v>227</v>
      </c>
      <c r="C132" s="44">
        <v>0</v>
      </c>
      <c r="D132" s="44">
        <v>0</v>
      </c>
      <c r="E132" s="44">
        <v>0</v>
      </c>
      <c r="F132" s="44">
        <v>0</v>
      </c>
      <c r="G132" s="44">
        <f t="shared" si="36"/>
        <v>0</v>
      </c>
      <c r="H132" s="44">
        <f t="shared" si="37"/>
        <v>0</v>
      </c>
      <c r="I132" s="44">
        <f t="shared" si="38"/>
        <v>0</v>
      </c>
      <c r="J132" s="44">
        <f t="shared" si="39"/>
        <v>0</v>
      </c>
      <c r="K132" s="44">
        <f t="shared" si="40"/>
        <v>0</v>
      </c>
      <c r="L132" s="44">
        <f t="shared" si="13"/>
        <v>0</v>
      </c>
      <c r="M132" s="44">
        <f t="shared" si="41"/>
        <v>0</v>
      </c>
    </row>
    <row r="133" spans="1:13" s="32" customFormat="1" ht="18.95" customHeight="1" x14ac:dyDescent="0.25">
      <c r="A133" s="17">
        <v>33301</v>
      </c>
      <c r="B133" s="8" t="s">
        <v>97</v>
      </c>
      <c r="C133" s="44"/>
      <c r="D133" s="44">
        <v>0</v>
      </c>
      <c r="E133" s="44">
        <v>0</v>
      </c>
      <c r="F133" s="44">
        <v>0</v>
      </c>
      <c r="G133" s="44">
        <f t="shared" si="36"/>
        <v>0</v>
      </c>
      <c r="H133" s="44">
        <f t="shared" si="37"/>
        <v>0</v>
      </c>
      <c r="I133" s="44">
        <f t="shared" si="38"/>
        <v>0</v>
      </c>
      <c r="J133" s="44">
        <f t="shared" si="39"/>
        <v>0</v>
      </c>
      <c r="K133" s="44">
        <f t="shared" si="40"/>
        <v>0</v>
      </c>
      <c r="L133" s="44">
        <f t="shared" si="13"/>
        <v>0</v>
      </c>
      <c r="M133" s="44">
        <f t="shared" si="41"/>
        <v>0</v>
      </c>
    </row>
    <row r="134" spans="1:13" s="32" customFormat="1" ht="21" customHeight="1" x14ac:dyDescent="0.25">
      <c r="A134" s="17">
        <v>33302</v>
      </c>
      <c r="B134" s="8" t="s">
        <v>250</v>
      </c>
      <c r="C134" s="44">
        <v>2000000</v>
      </c>
      <c r="D134" s="44">
        <v>-203270.3</v>
      </c>
      <c r="E134" s="44">
        <v>1796729.7</v>
      </c>
      <c r="F134" s="44">
        <v>1796729.7</v>
      </c>
      <c r="G134" s="44">
        <f t="shared" si="36"/>
        <v>0</v>
      </c>
      <c r="H134" s="44">
        <f t="shared" si="37"/>
        <v>1796729.7</v>
      </c>
      <c r="I134" s="44">
        <f t="shared" si="38"/>
        <v>0</v>
      </c>
      <c r="J134" s="44">
        <f t="shared" si="39"/>
        <v>0</v>
      </c>
      <c r="K134" s="44">
        <f t="shared" si="40"/>
        <v>1796729.7</v>
      </c>
      <c r="L134" s="44">
        <f t="shared" si="13"/>
        <v>1796729.7</v>
      </c>
      <c r="M134" s="44">
        <f t="shared" si="41"/>
        <v>0</v>
      </c>
    </row>
    <row r="135" spans="1:13" s="32" customFormat="1" ht="30" x14ac:dyDescent="0.25">
      <c r="A135" s="17">
        <v>33303</v>
      </c>
      <c r="B135" s="8" t="s">
        <v>173</v>
      </c>
      <c r="C135" s="44">
        <v>0</v>
      </c>
      <c r="D135" s="44">
        <v>0</v>
      </c>
      <c r="E135" s="44">
        <v>0</v>
      </c>
      <c r="F135" s="44">
        <v>0</v>
      </c>
      <c r="G135" s="44">
        <f t="shared" si="36"/>
        <v>0</v>
      </c>
      <c r="H135" s="44">
        <f t="shared" si="37"/>
        <v>0</v>
      </c>
      <c r="I135" s="44">
        <f t="shared" si="38"/>
        <v>0</v>
      </c>
      <c r="J135" s="44">
        <f t="shared" si="39"/>
        <v>0</v>
      </c>
      <c r="K135" s="44">
        <f t="shared" si="40"/>
        <v>0</v>
      </c>
      <c r="L135" s="44">
        <f t="shared" si="13"/>
        <v>0</v>
      </c>
      <c r="M135" s="44">
        <f t="shared" si="41"/>
        <v>0</v>
      </c>
    </row>
    <row r="136" spans="1:13" s="32" customFormat="1" ht="30" x14ac:dyDescent="0.25">
      <c r="A136" s="17">
        <v>33401</v>
      </c>
      <c r="B136" s="8" t="s">
        <v>70</v>
      </c>
      <c r="C136" s="44"/>
      <c r="D136" s="44">
        <v>0</v>
      </c>
      <c r="E136" s="44">
        <v>0</v>
      </c>
      <c r="F136" s="44">
        <v>0</v>
      </c>
      <c r="G136" s="44">
        <f t="shared" si="36"/>
        <v>0</v>
      </c>
      <c r="H136" s="44">
        <f t="shared" si="37"/>
        <v>0</v>
      </c>
      <c r="I136" s="44">
        <f t="shared" si="38"/>
        <v>0</v>
      </c>
      <c r="J136" s="44">
        <f t="shared" si="39"/>
        <v>0</v>
      </c>
      <c r="K136" s="44">
        <f t="shared" si="40"/>
        <v>0</v>
      </c>
      <c r="L136" s="44">
        <f t="shared" si="13"/>
        <v>0</v>
      </c>
      <c r="M136" s="44">
        <f t="shared" si="41"/>
        <v>0</v>
      </c>
    </row>
    <row r="137" spans="1:13" s="32" customFormat="1" ht="18.95" customHeight="1" x14ac:dyDescent="0.25">
      <c r="A137" s="17">
        <v>33603</v>
      </c>
      <c r="B137" s="8" t="s">
        <v>81</v>
      </c>
      <c r="C137" s="44"/>
      <c r="D137" s="44">
        <v>0</v>
      </c>
      <c r="E137" s="44">
        <v>0</v>
      </c>
      <c r="F137" s="44">
        <v>0</v>
      </c>
      <c r="G137" s="44">
        <f t="shared" si="36"/>
        <v>0</v>
      </c>
      <c r="H137" s="44">
        <f t="shared" si="37"/>
        <v>0</v>
      </c>
      <c r="I137" s="44">
        <f t="shared" si="38"/>
        <v>0</v>
      </c>
      <c r="J137" s="44">
        <f t="shared" si="39"/>
        <v>0</v>
      </c>
      <c r="K137" s="44">
        <f t="shared" si="40"/>
        <v>0</v>
      </c>
      <c r="L137" s="44">
        <f t="shared" si="13"/>
        <v>0</v>
      </c>
      <c r="M137" s="44">
        <f t="shared" si="41"/>
        <v>0</v>
      </c>
    </row>
    <row r="138" spans="1:13" s="32" customFormat="1" ht="18.95" customHeight="1" x14ac:dyDescent="0.25">
      <c r="A138" s="17">
        <v>33604</v>
      </c>
      <c r="B138" s="8" t="s">
        <v>170</v>
      </c>
      <c r="C138" s="44"/>
      <c r="D138" s="44">
        <v>0</v>
      </c>
      <c r="E138" s="44">
        <v>0</v>
      </c>
      <c r="F138" s="44">
        <v>0</v>
      </c>
      <c r="G138" s="44">
        <f t="shared" si="36"/>
        <v>0</v>
      </c>
      <c r="H138" s="44">
        <f t="shared" si="37"/>
        <v>0</v>
      </c>
      <c r="I138" s="44">
        <f t="shared" si="38"/>
        <v>0</v>
      </c>
      <c r="J138" s="44">
        <f t="shared" si="39"/>
        <v>0</v>
      </c>
      <c r="K138" s="44">
        <f t="shared" si="40"/>
        <v>0</v>
      </c>
      <c r="L138" s="44">
        <f t="shared" si="13"/>
        <v>0</v>
      </c>
      <c r="M138" s="44">
        <f t="shared" si="41"/>
        <v>0</v>
      </c>
    </row>
    <row r="139" spans="1:13" s="32" customFormat="1" ht="18.95" customHeight="1" x14ac:dyDescent="0.25">
      <c r="A139" s="17">
        <v>33801</v>
      </c>
      <c r="B139" s="8" t="s">
        <v>71</v>
      </c>
      <c r="C139" s="44">
        <v>0</v>
      </c>
      <c r="D139" s="44">
        <v>0</v>
      </c>
      <c r="E139" s="44">
        <v>0</v>
      </c>
      <c r="F139" s="44">
        <v>0</v>
      </c>
      <c r="G139" s="44">
        <f t="shared" si="36"/>
        <v>0</v>
      </c>
      <c r="H139" s="44">
        <f t="shared" si="37"/>
        <v>0</v>
      </c>
      <c r="I139" s="44">
        <f t="shared" si="38"/>
        <v>0</v>
      </c>
      <c r="J139" s="44">
        <f t="shared" si="39"/>
        <v>0</v>
      </c>
      <c r="K139" s="44">
        <f t="shared" si="40"/>
        <v>0</v>
      </c>
      <c r="L139" s="44">
        <f t="shared" si="13"/>
        <v>0</v>
      </c>
      <c r="M139" s="44">
        <f t="shared" si="41"/>
        <v>0</v>
      </c>
    </row>
    <row r="140" spans="1:13" s="72" customFormat="1" ht="30" x14ac:dyDescent="0.25">
      <c r="A140" s="65">
        <v>3400</v>
      </c>
      <c r="B140" s="71" t="s">
        <v>209</v>
      </c>
      <c r="C140" s="64">
        <f>SUM(C141:C145)</f>
        <v>0</v>
      </c>
      <c r="D140" s="64">
        <f t="shared" ref="D140:M140" si="44">SUM(D141:D145)</f>
        <v>14737.74</v>
      </c>
      <c r="E140" s="64">
        <v>14737.74</v>
      </c>
      <c r="F140" s="64">
        <f t="shared" si="44"/>
        <v>14737.74</v>
      </c>
      <c r="G140" s="64">
        <f t="shared" si="44"/>
        <v>0</v>
      </c>
      <c r="H140" s="64">
        <f t="shared" si="44"/>
        <v>14737.74</v>
      </c>
      <c r="I140" s="64">
        <f t="shared" si="44"/>
        <v>0</v>
      </c>
      <c r="J140" s="64">
        <f t="shared" si="44"/>
        <v>0</v>
      </c>
      <c r="K140" s="64">
        <f t="shared" si="44"/>
        <v>14737.74</v>
      </c>
      <c r="L140" s="64">
        <f t="shared" si="44"/>
        <v>14737.74</v>
      </c>
      <c r="M140" s="64">
        <f t="shared" si="44"/>
        <v>0</v>
      </c>
    </row>
    <row r="141" spans="1:13" s="32" customFormat="1" ht="18.95" customHeight="1" x14ac:dyDescent="0.25">
      <c r="A141" s="17">
        <v>34101</v>
      </c>
      <c r="B141" s="8" t="s">
        <v>72</v>
      </c>
      <c r="C141" s="44"/>
      <c r="D141" s="44">
        <v>0</v>
      </c>
      <c r="E141" s="44">
        <v>0</v>
      </c>
      <c r="F141" s="44">
        <v>0</v>
      </c>
      <c r="G141" s="44">
        <f t="shared" si="36"/>
        <v>0</v>
      </c>
      <c r="H141" s="44">
        <f t="shared" si="37"/>
        <v>0</v>
      </c>
      <c r="I141" s="44">
        <f t="shared" si="38"/>
        <v>0</v>
      </c>
      <c r="J141" s="44">
        <f t="shared" si="39"/>
        <v>0</v>
      </c>
      <c r="K141" s="44">
        <f t="shared" si="40"/>
        <v>0</v>
      </c>
      <c r="L141" s="44">
        <f t="shared" si="13"/>
        <v>0</v>
      </c>
      <c r="M141" s="44">
        <f t="shared" si="41"/>
        <v>0</v>
      </c>
    </row>
    <row r="142" spans="1:13" s="32" customFormat="1" ht="18.95" customHeight="1" x14ac:dyDescent="0.25">
      <c r="A142" s="17">
        <v>34102</v>
      </c>
      <c r="B142" s="8" t="s">
        <v>166</v>
      </c>
      <c r="C142" s="44">
        <v>0</v>
      </c>
      <c r="D142" s="44">
        <v>14737.74</v>
      </c>
      <c r="E142" s="44">
        <v>14737.74</v>
      </c>
      <c r="F142" s="44">
        <v>14737.74</v>
      </c>
      <c r="G142" s="44">
        <f t="shared" si="36"/>
        <v>0</v>
      </c>
      <c r="H142" s="44">
        <f t="shared" si="37"/>
        <v>14737.74</v>
      </c>
      <c r="I142" s="44">
        <f t="shared" si="38"/>
        <v>0</v>
      </c>
      <c r="J142" s="44">
        <f t="shared" si="39"/>
        <v>0</v>
      </c>
      <c r="K142" s="44">
        <f t="shared" si="40"/>
        <v>14737.74</v>
      </c>
      <c r="L142" s="44">
        <f t="shared" si="13"/>
        <v>14737.74</v>
      </c>
      <c r="M142" s="44">
        <f t="shared" si="41"/>
        <v>0</v>
      </c>
    </row>
    <row r="143" spans="1:13" s="32" customFormat="1" ht="18.95" customHeight="1" x14ac:dyDescent="0.25">
      <c r="A143" s="17">
        <v>34401</v>
      </c>
      <c r="B143" s="8" t="s">
        <v>180</v>
      </c>
      <c r="C143" s="44">
        <v>0</v>
      </c>
      <c r="D143" s="44">
        <v>0</v>
      </c>
      <c r="E143" s="44">
        <v>0</v>
      </c>
      <c r="F143" s="44">
        <v>0</v>
      </c>
      <c r="G143" s="44">
        <f t="shared" si="36"/>
        <v>0</v>
      </c>
      <c r="H143" s="44">
        <f t="shared" si="37"/>
        <v>0</v>
      </c>
      <c r="I143" s="44">
        <f t="shared" si="38"/>
        <v>0</v>
      </c>
      <c r="J143" s="44">
        <f t="shared" si="39"/>
        <v>0</v>
      </c>
      <c r="K143" s="44">
        <f t="shared" si="40"/>
        <v>0</v>
      </c>
      <c r="L143" s="44">
        <f t="shared" si="13"/>
        <v>0</v>
      </c>
      <c r="M143" s="44">
        <f t="shared" si="41"/>
        <v>0</v>
      </c>
    </row>
    <row r="144" spans="1:13" s="32" customFormat="1" ht="18.95" customHeight="1" x14ac:dyDescent="0.25">
      <c r="A144" s="17">
        <v>34501</v>
      </c>
      <c r="B144" s="8" t="s">
        <v>73</v>
      </c>
      <c r="C144" s="44"/>
      <c r="D144" s="44">
        <v>0</v>
      </c>
      <c r="E144" s="44">
        <v>0</v>
      </c>
      <c r="F144" s="44">
        <v>0</v>
      </c>
      <c r="G144" s="44">
        <f t="shared" si="36"/>
        <v>0</v>
      </c>
      <c r="H144" s="44">
        <f t="shared" si="37"/>
        <v>0</v>
      </c>
      <c r="I144" s="44">
        <f t="shared" si="38"/>
        <v>0</v>
      </c>
      <c r="J144" s="44">
        <f t="shared" si="39"/>
        <v>0</v>
      </c>
      <c r="K144" s="44">
        <f t="shared" si="40"/>
        <v>0</v>
      </c>
      <c r="L144" s="44">
        <f t="shared" si="13"/>
        <v>0</v>
      </c>
      <c r="M144" s="44">
        <f t="shared" si="41"/>
        <v>0</v>
      </c>
    </row>
    <row r="145" spans="1:13" s="32" customFormat="1" ht="18.95" customHeight="1" x14ac:dyDescent="0.25">
      <c r="A145" s="17">
        <v>34701</v>
      </c>
      <c r="B145" s="8" t="s">
        <v>74</v>
      </c>
      <c r="C145" s="44"/>
      <c r="D145" s="44">
        <v>0</v>
      </c>
      <c r="E145" s="44">
        <v>0</v>
      </c>
      <c r="F145" s="44">
        <v>0</v>
      </c>
      <c r="G145" s="44">
        <f t="shared" si="36"/>
        <v>0</v>
      </c>
      <c r="H145" s="44">
        <f t="shared" si="37"/>
        <v>0</v>
      </c>
      <c r="I145" s="44">
        <f t="shared" si="38"/>
        <v>0</v>
      </c>
      <c r="J145" s="44">
        <f t="shared" si="39"/>
        <v>0</v>
      </c>
      <c r="K145" s="44">
        <f t="shared" si="40"/>
        <v>0</v>
      </c>
      <c r="L145" s="44">
        <f t="shared" si="13"/>
        <v>0</v>
      </c>
      <c r="M145" s="44">
        <f t="shared" si="41"/>
        <v>0</v>
      </c>
    </row>
    <row r="146" spans="1:13" s="72" customFormat="1" ht="30" x14ac:dyDescent="0.25">
      <c r="A146" s="65">
        <v>3500</v>
      </c>
      <c r="B146" s="71" t="s">
        <v>210</v>
      </c>
      <c r="C146" s="64">
        <f>SUM(C147:C154)</f>
        <v>1500000</v>
      </c>
      <c r="D146" s="64">
        <f t="shared" ref="D146:M146" si="45">SUM(D147:D154)</f>
        <v>92591.47</v>
      </c>
      <c r="E146" s="64">
        <v>1592591.47</v>
      </c>
      <c r="F146" s="64">
        <f t="shared" si="45"/>
        <v>1592591.47</v>
      </c>
      <c r="G146" s="64">
        <f t="shared" si="45"/>
        <v>0</v>
      </c>
      <c r="H146" s="64">
        <f t="shared" si="45"/>
        <v>1592591.47</v>
      </c>
      <c r="I146" s="64">
        <f t="shared" si="45"/>
        <v>0</v>
      </c>
      <c r="J146" s="64">
        <f t="shared" si="45"/>
        <v>0</v>
      </c>
      <c r="K146" s="64">
        <f t="shared" si="45"/>
        <v>1592591.47</v>
      </c>
      <c r="L146" s="64">
        <f t="shared" si="45"/>
        <v>1592591.47</v>
      </c>
      <c r="M146" s="64">
        <f t="shared" si="45"/>
        <v>0</v>
      </c>
    </row>
    <row r="147" spans="1:13" s="32" customFormat="1" ht="30" x14ac:dyDescent="0.25">
      <c r="A147" s="17">
        <v>35101</v>
      </c>
      <c r="B147" s="8" t="s">
        <v>75</v>
      </c>
      <c r="C147" s="44">
        <v>1500000</v>
      </c>
      <c r="D147" s="44">
        <f>250000-337938.75</f>
        <v>-87938.75</v>
      </c>
      <c r="E147" s="44">
        <v>1412061.25</v>
      </c>
      <c r="F147" s="44">
        <v>1412061.25</v>
      </c>
      <c r="G147" s="44">
        <f t="shared" si="36"/>
        <v>0</v>
      </c>
      <c r="H147" s="44">
        <f t="shared" si="37"/>
        <v>1412061.25</v>
      </c>
      <c r="I147" s="44">
        <f t="shared" si="38"/>
        <v>0</v>
      </c>
      <c r="J147" s="44">
        <f t="shared" si="39"/>
        <v>0</v>
      </c>
      <c r="K147" s="44">
        <f t="shared" si="40"/>
        <v>1412061.25</v>
      </c>
      <c r="L147" s="44">
        <f t="shared" si="13"/>
        <v>1412061.25</v>
      </c>
      <c r="M147" s="44">
        <f t="shared" si="41"/>
        <v>0</v>
      </c>
    </row>
    <row r="148" spans="1:13" s="32" customFormat="1" ht="33" customHeight="1" x14ac:dyDescent="0.25">
      <c r="A148" s="17">
        <v>35201</v>
      </c>
      <c r="B148" s="8" t="s">
        <v>76</v>
      </c>
      <c r="C148" s="44"/>
      <c r="D148" s="44">
        <v>0</v>
      </c>
      <c r="E148" s="44">
        <v>0</v>
      </c>
      <c r="F148" s="44">
        <v>0</v>
      </c>
      <c r="G148" s="44">
        <f t="shared" si="36"/>
        <v>0</v>
      </c>
      <c r="H148" s="44">
        <f t="shared" si="37"/>
        <v>0</v>
      </c>
      <c r="I148" s="44">
        <f t="shared" si="38"/>
        <v>0</v>
      </c>
      <c r="J148" s="44">
        <f t="shared" si="39"/>
        <v>0</v>
      </c>
      <c r="K148" s="44">
        <f t="shared" si="40"/>
        <v>0</v>
      </c>
      <c r="L148" s="44">
        <f t="shared" si="13"/>
        <v>0</v>
      </c>
      <c r="M148" s="44">
        <f t="shared" si="41"/>
        <v>0</v>
      </c>
    </row>
    <row r="149" spans="1:13" s="32" customFormat="1" ht="30.75" customHeight="1" x14ac:dyDescent="0.25">
      <c r="A149" s="17">
        <v>35301</v>
      </c>
      <c r="B149" s="8" t="s">
        <v>77</v>
      </c>
      <c r="C149" s="44"/>
      <c r="D149" s="44">
        <v>0</v>
      </c>
      <c r="E149" s="44">
        <v>0</v>
      </c>
      <c r="F149" s="44">
        <v>0</v>
      </c>
      <c r="G149" s="44">
        <f t="shared" si="36"/>
        <v>0</v>
      </c>
      <c r="H149" s="44">
        <f t="shared" si="37"/>
        <v>0</v>
      </c>
      <c r="I149" s="44">
        <f t="shared" si="38"/>
        <v>0</v>
      </c>
      <c r="J149" s="44">
        <f t="shared" si="39"/>
        <v>0</v>
      </c>
      <c r="K149" s="44">
        <f t="shared" si="40"/>
        <v>0</v>
      </c>
      <c r="L149" s="44">
        <f t="shared" si="13"/>
        <v>0</v>
      </c>
      <c r="M149" s="44">
        <f t="shared" si="41"/>
        <v>0</v>
      </c>
    </row>
    <row r="150" spans="1:13" s="32" customFormat="1" ht="30.75" customHeight="1" x14ac:dyDescent="0.25">
      <c r="A150" s="17">
        <v>35401</v>
      </c>
      <c r="B150" s="8" t="s">
        <v>177</v>
      </c>
      <c r="C150" s="44"/>
      <c r="D150" s="44">
        <v>0</v>
      </c>
      <c r="E150" s="44">
        <v>0</v>
      </c>
      <c r="F150" s="44">
        <v>0</v>
      </c>
      <c r="G150" s="44">
        <f t="shared" si="36"/>
        <v>0</v>
      </c>
      <c r="H150" s="44">
        <f t="shared" si="37"/>
        <v>0</v>
      </c>
      <c r="I150" s="44">
        <f t="shared" si="38"/>
        <v>0</v>
      </c>
      <c r="J150" s="44">
        <f t="shared" si="39"/>
        <v>0</v>
      </c>
      <c r="K150" s="44">
        <f t="shared" si="40"/>
        <v>0</v>
      </c>
      <c r="L150" s="44">
        <f t="shared" si="13"/>
        <v>0</v>
      </c>
      <c r="M150" s="44">
        <f t="shared" si="41"/>
        <v>0</v>
      </c>
    </row>
    <row r="151" spans="1:13" s="32" customFormat="1" ht="45" x14ac:dyDescent="0.25">
      <c r="A151" s="17">
        <v>35501</v>
      </c>
      <c r="B151" s="8" t="s">
        <v>78</v>
      </c>
      <c r="C151" s="44"/>
      <c r="D151" s="44">
        <v>0</v>
      </c>
      <c r="E151" s="44">
        <v>0</v>
      </c>
      <c r="F151" s="44">
        <v>0</v>
      </c>
      <c r="G151" s="44">
        <f t="shared" si="36"/>
        <v>0</v>
      </c>
      <c r="H151" s="44">
        <f t="shared" si="37"/>
        <v>0</v>
      </c>
      <c r="I151" s="44">
        <f t="shared" si="38"/>
        <v>0</v>
      </c>
      <c r="J151" s="44">
        <f t="shared" si="39"/>
        <v>0</v>
      </c>
      <c r="K151" s="44">
        <f t="shared" si="40"/>
        <v>0</v>
      </c>
      <c r="L151" s="44">
        <f t="shared" si="13"/>
        <v>0</v>
      </c>
      <c r="M151" s="44">
        <f t="shared" si="41"/>
        <v>0</v>
      </c>
    </row>
    <row r="152" spans="1:13" s="32" customFormat="1" ht="30" x14ac:dyDescent="0.25">
      <c r="A152" s="17">
        <v>35703</v>
      </c>
      <c r="B152" s="8" t="s">
        <v>79</v>
      </c>
      <c r="C152" s="44">
        <v>0</v>
      </c>
      <c r="D152" s="44">
        <v>0</v>
      </c>
      <c r="E152" s="44">
        <v>0</v>
      </c>
      <c r="F152" s="44">
        <v>0</v>
      </c>
      <c r="G152" s="44">
        <f t="shared" si="36"/>
        <v>0</v>
      </c>
      <c r="H152" s="44">
        <f t="shared" si="37"/>
        <v>0</v>
      </c>
      <c r="I152" s="44">
        <f t="shared" si="38"/>
        <v>0</v>
      </c>
      <c r="J152" s="44">
        <f t="shared" si="39"/>
        <v>0</v>
      </c>
      <c r="K152" s="44">
        <f t="shared" si="40"/>
        <v>0</v>
      </c>
      <c r="L152" s="44">
        <f t="shared" si="13"/>
        <v>0</v>
      </c>
      <c r="M152" s="44">
        <f t="shared" si="41"/>
        <v>0</v>
      </c>
    </row>
    <row r="153" spans="1:13" s="32" customFormat="1" ht="18.95" customHeight="1" x14ac:dyDescent="0.25">
      <c r="A153" s="17">
        <v>35801</v>
      </c>
      <c r="B153" s="8" t="s">
        <v>93</v>
      </c>
      <c r="C153" s="44">
        <v>0</v>
      </c>
      <c r="D153" s="44">
        <v>0</v>
      </c>
      <c r="E153" s="44">
        <v>0</v>
      </c>
      <c r="F153" s="44">
        <v>0</v>
      </c>
      <c r="G153" s="44">
        <f t="shared" si="36"/>
        <v>0</v>
      </c>
      <c r="H153" s="44">
        <f t="shared" si="37"/>
        <v>0</v>
      </c>
      <c r="I153" s="44">
        <f t="shared" si="38"/>
        <v>0</v>
      </c>
      <c r="J153" s="44">
        <f t="shared" si="39"/>
        <v>0</v>
      </c>
      <c r="K153" s="44">
        <f t="shared" si="40"/>
        <v>0</v>
      </c>
      <c r="L153" s="44">
        <f t="shared" si="13"/>
        <v>0</v>
      </c>
      <c r="M153" s="44">
        <f t="shared" si="41"/>
        <v>0</v>
      </c>
    </row>
    <row r="154" spans="1:13" s="32" customFormat="1" ht="18.95" customHeight="1" x14ac:dyDescent="0.25">
      <c r="A154" s="17">
        <v>35901</v>
      </c>
      <c r="B154" s="8" t="s">
        <v>80</v>
      </c>
      <c r="C154" s="44"/>
      <c r="D154" s="44">
        <f>192766-12235.78</f>
        <v>180530.22</v>
      </c>
      <c r="E154" s="44">
        <v>180530.22</v>
      </c>
      <c r="F154" s="44">
        <v>180530.22</v>
      </c>
      <c r="G154" s="44">
        <f t="shared" si="36"/>
        <v>0</v>
      </c>
      <c r="H154" s="44">
        <f t="shared" si="37"/>
        <v>180530.22</v>
      </c>
      <c r="I154" s="44">
        <f t="shared" si="38"/>
        <v>0</v>
      </c>
      <c r="J154" s="44">
        <f t="shared" si="39"/>
        <v>0</v>
      </c>
      <c r="K154" s="44">
        <f t="shared" si="40"/>
        <v>180530.22</v>
      </c>
      <c r="L154" s="44">
        <f t="shared" si="13"/>
        <v>180530.22</v>
      </c>
      <c r="M154" s="44">
        <f t="shared" si="41"/>
        <v>0</v>
      </c>
    </row>
    <row r="155" spans="1:13" s="72" customFormat="1" ht="30" x14ac:dyDescent="0.25">
      <c r="A155" s="65">
        <v>3600</v>
      </c>
      <c r="B155" s="71" t="s">
        <v>211</v>
      </c>
      <c r="C155" s="64">
        <f>SUM(C156:C156)</f>
        <v>0</v>
      </c>
      <c r="D155" s="64">
        <f>SUM(D156:D156)</f>
        <v>0</v>
      </c>
      <c r="E155" s="64">
        <v>0</v>
      </c>
      <c r="F155" s="64">
        <f t="shared" ref="F155:M155" si="46">SUM(F156)</f>
        <v>0</v>
      </c>
      <c r="G155" s="64">
        <f t="shared" si="46"/>
        <v>0</v>
      </c>
      <c r="H155" s="64">
        <f t="shared" si="46"/>
        <v>0</v>
      </c>
      <c r="I155" s="64">
        <f t="shared" si="46"/>
        <v>0</v>
      </c>
      <c r="J155" s="64">
        <f t="shared" si="46"/>
        <v>0</v>
      </c>
      <c r="K155" s="64">
        <f t="shared" si="46"/>
        <v>0</v>
      </c>
      <c r="L155" s="64">
        <f t="shared" si="46"/>
        <v>0</v>
      </c>
      <c r="M155" s="64">
        <f t="shared" si="46"/>
        <v>0</v>
      </c>
    </row>
    <row r="156" spans="1:13" s="32" customFormat="1" ht="30" x14ac:dyDescent="0.25">
      <c r="A156" s="17">
        <v>36101</v>
      </c>
      <c r="B156" s="8" t="s">
        <v>159</v>
      </c>
      <c r="C156" s="44"/>
      <c r="D156" s="44">
        <v>0</v>
      </c>
      <c r="E156" s="44">
        <v>0</v>
      </c>
      <c r="F156" s="44">
        <v>0</v>
      </c>
      <c r="G156" s="44">
        <f t="shared" si="36"/>
        <v>0</v>
      </c>
      <c r="H156" s="44">
        <f t="shared" si="37"/>
        <v>0</v>
      </c>
      <c r="I156" s="44">
        <f t="shared" si="38"/>
        <v>0</v>
      </c>
      <c r="J156" s="44">
        <f t="shared" si="39"/>
        <v>0</v>
      </c>
      <c r="K156" s="44">
        <f t="shared" si="40"/>
        <v>0</v>
      </c>
      <c r="L156" s="44">
        <f t="shared" si="13"/>
        <v>0</v>
      </c>
      <c r="M156" s="44">
        <f t="shared" si="41"/>
        <v>0</v>
      </c>
    </row>
    <row r="157" spans="1:13" s="72" customFormat="1" ht="20.100000000000001" customHeight="1" x14ac:dyDescent="0.25">
      <c r="A157" s="65">
        <v>3700</v>
      </c>
      <c r="B157" s="71" t="s">
        <v>212</v>
      </c>
      <c r="C157" s="64">
        <f>SUM(C159:C161)</f>
        <v>0</v>
      </c>
      <c r="D157" s="64">
        <f t="shared" ref="D157:M157" si="47">SUM(D159:D161)</f>
        <v>1205000</v>
      </c>
      <c r="E157" s="64">
        <v>1205000</v>
      </c>
      <c r="F157" s="64">
        <f t="shared" si="47"/>
        <v>1205000</v>
      </c>
      <c r="G157" s="64">
        <f t="shared" si="47"/>
        <v>0</v>
      </c>
      <c r="H157" s="64">
        <f t="shared" si="47"/>
        <v>1205000</v>
      </c>
      <c r="I157" s="64">
        <f t="shared" si="47"/>
        <v>0</v>
      </c>
      <c r="J157" s="64">
        <f t="shared" si="47"/>
        <v>0</v>
      </c>
      <c r="K157" s="64">
        <f t="shared" si="47"/>
        <v>1205000</v>
      </c>
      <c r="L157" s="64">
        <f t="shared" si="47"/>
        <v>20000</v>
      </c>
      <c r="M157" s="64">
        <f t="shared" si="47"/>
        <v>1185000</v>
      </c>
    </row>
    <row r="158" spans="1:13" s="32" customFormat="1" ht="45" x14ac:dyDescent="0.25">
      <c r="A158" s="17">
        <v>37201</v>
      </c>
      <c r="B158" s="8" t="s">
        <v>82</v>
      </c>
      <c r="C158" s="44"/>
      <c r="D158" s="44">
        <v>0</v>
      </c>
      <c r="E158" s="44">
        <v>0</v>
      </c>
      <c r="F158" s="44">
        <v>0</v>
      </c>
      <c r="G158" s="44">
        <f t="shared" ref="G158" si="48">E158-F158</f>
        <v>0</v>
      </c>
      <c r="H158" s="44">
        <f t="shared" ref="H158" si="49">F158</f>
        <v>0</v>
      </c>
      <c r="I158" s="44">
        <f t="shared" ref="I158" si="50">F158-H158</f>
        <v>0</v>
      </c>
      <c r="J158" s="44">
        <f t="shared" ref="J158" si="51">E158-H158</f>
        <v>0</v>
      </c>
      <c r="K158" s="44">
        <f t="shared" ref="K158" si="52">F158</f>
        <v>0</v>
      </c>
      <c r="L158" s="44">
        <f t="shared" ref="L158" si="53">K158</f>
        <v>0</v>
      </c>
      <c r="M158" s="44">
        <f t="shared" ref="M158" si="54">H158-L158</f>
        <v>0</v>
      </c>
    </row>
    <row r="159" spans="1:13" s="32" customFormat="1" ht="18.95" customHeight="1" x14ac:dyDescent="0.25">
      <c r="A159" s="17">
        <v>37207</v>
      </c>
      <c r="B159" s="8" t="s">
        <v>247</v>
      </c>
      <c r="C159" s="44">
        <v>0</v>
      </c>
      <c r="D159" s="44">
        <v>1185000</v>
      </c>
      <c r="E159" s="44">
        <v>1185000</v>
      </c>
      <c r="F159" s="44">
        <v>1185000</v>
      </c>
      <c r="G159" s="44">
        <f t="shared" si="36"/>
        <v>0</v>
      </c>
      <c r="H159" s="44">
        <f t="shared" si="37"/>
        <v>1185000</v>
      </c>
      <c r="I159" s="44">
        <f t="shared" si="38"/>
        <v>0</v>
      </c>
      <c r="J159" s="44">
        <f t="shared" si="39"/>
        <v>0</v>
      </c>
      <c r="K159" s="44">
        <f t="shared" si="40"/>
        <v>1185000</v>
      </c>
      <c r="L159" s="44">
        <v>0</v>
      </c>
      <c r="M159" s="44">
        <v>1185000</v>
      </c>
    </row>
    <row r="160" spans="1:13" s="32" customFormat="1" ht="18.95" customHeight="1" x14ac:dyDescent="0.25">
      <c r="A160" s="17">
        <v>37208</v>
      </c>
      <c r="B160" s="8" t="s">
        <v>248</v>
      </c>
      <c r="C160" s="44">
        <v>0</v>
      </c>
      <c r="D160" s="44">
        <v>20000</v>
      </c>
      <c r="E160" s="44">
        <v>20000</v>
      </c>
      <c r="F160" s="44">
        <v>20000</v>
      </c>
      <c r="G160" s="44">
        <f t="shared" ref="G160" si="55">E160-F160</f>
        <v>0</v>
      </c>
      <c r="H160" s="44">
        <f t="shared" ref="H160" si="56">F160</f>
        <v>20000</v>
      </c>
      <c r="I160" s="44">
        <f t="shared" ref="I160" si="57">F160-H160</f>
        <v>0</v>
      </c>
      <c r="J160" s="44">
        <f t="shared" ref="J160" si="58">E160-H160</f>
        <v>0</v>
      </c>
      <c r="K160" s="44">
        <f t="shared" ref="K160" si="59">F160</f>
        <v>20000</v>
      </c>
      <c r="L160" s="44">
        <f t="shared" ref="L160" si="60">K160</f>
        <v>20000</v>
      </c>
      <c r="M160" s="44">
        <f t="shared" ref="M160" si="61">H160-L160</f>
        <v>0</v>
      </c>
    </row>
    <row r="161" spans="1:13" s="32" customFormat="1" ht="18.95" customHeight="1" x14ac:dyDescent="0.25">
      <c r="A161" s="17">
        <v>37501</v>
      </c>
      <c r="B161" s="8" t="s">
        <v>142</v>
      </c>
      <c r="C161" s="44"/>
      <c r="D161" s="44">
        <v>0</v>
      </c>
      <c r="E161" s="44">
        <v>0</v>
      </c>
      <c r="F161" s="44">
        <v>0</v>
      </c>
      <c r="G161" s="44">
        <f t="shared" si="36"/>
        <v>0</v>
      </c>
      <c r="H161" s="44">
        <f t="shared" si="37"/>
        <v>0</v>
      </c>
      <c r="I161" s="44">
        <f t="shared" si="38"/>
        <v>0</v>
      </c>
      <c r="J161" s="44">
        <f t="shared" si="39"/>
        <v>0</v>
      </c>
      <c r="K161" s="44">
        <f t="shared" si="40"/>
        <v>0</v>
      </c>
      <c r="L161" s="44">
        <f t="shared" si="13"/>
        <v>0</v>
      </c>
      <c r="M161" s="44">
        <f t="shared" si="41"/>
        <v>0</v>
      </c>
    </row>
    <row r="162" spans="1:13" s="72" customFormat="1" ht="20.100000000000001" customHeight="1" x14ac:dyDescent="0.25">
      <c r="A162" s="65">
        <v>3800</v>
      </c>
      <c r="B162" s="71" t="s">
        <v>213</v>
      </c>
      <c r="C162" s="64">
        <f>SUM(C163:C166)</f>
        <v>1350000</v>
      </c>
      <c r="D162" s="64">
        <f t="shared" ref="D162:M162" si="62">SUM(D163:D166)</f>
        <v>-1350000</v>
      </c>
      <c r="E162" s="64">
        <v>0</v>
      </c>
      <c r="F162" s="64">
        <f t="shared" si="62"/>
        <v>0</v>
      </c>
      <c r="G162" s="64">
        <f t="shared" si="62"/>
        <v>0</v>
      </c>
      <c r="H162" s="64">
        <f t="shared" si="62"/>
        <v>0</v>
      </c>
      <c r="I162" s="64">
        <f t="shared" si="62"/>
        <v>0</v>
      </c>
      <c r="J162" s="64">
        <f t="shared" si="62"/>
        <v>0</v>
      </c>
      <c r="K162" s="64">
        <f t="shared" si="62"/>
        <v>0</v>
      </c>
      <c r="L162" s="64">
        <f t="shared" si="62"/>
        <v>0</v>
      </c>
      <c r="M162" s="64">
        <f t="shared" si="62"/>
        <v>0</v>
      </c>
    </row>
    <row r="163" spans="1:13" s="32" customFormat="1" ht="18.95" customHeight="1" x14ac:dyDescent="0.25">
      <c r="A163" s="17">
        <v>38201</v>
      </c>
      <c r="B163" s="8" t="s">
        <v>83</v>
      </c>
      <c r="C163" s="44">
        <v>100000</v>
      </c>
      <c r="D163" s="44">
        <v>-100000</v>
      </c>
      <c r="E163" s="44">
        <v>0</v>
      </c>
      <c r="F163" s="44">
        <v>0</v>
      </c>
      <c r="G163" s="44">
        <f t="shared" si="36"/>
        <v>0</v>
      </c>
      <c r="H163" s="44">
        <f t="shared" si="37"/>
        <v>0</v>
      </c>
      <c r="I163" s="44">
        <f t="shared" si="38"/>
        <v>0</v>
      </c>
      <c r="J163" s="44">
        <f t="shared" si="39"/>
        <v>0</v>
      </c>
      <c r="K163" s="44">
        <f t="shared" si="40"/>
        <v>0</v>
      </c>
      <c r="L163" s="44">
        <f t="shared" si="13"/>
        <v>0</v>
      </c>
      <c r="M163" s="44">
        <f t="shared" si="41"/>
        <v>0</v>
      </c>
    </row>
    <row r="164" spans="1:13" s="32" customFormat="1" ht="18.95" customHeight="1" x14ac:dyDescent="0.25">
      <c r="A164" s="17">
        <v>38301</v>
      </c>
      <c r="B164" s="8" t="s">
        <v>84</v>
      </c>
      <c r="C164" s="44"/>
      <c r="D164" s="44">
        <v>0</v>
      </c>
      <c r="E164" s="44">
        <v>0</v>
      </c>
      <c r="F164" s="44">
        <v>0</v>
      </c>
      <c r="G164" s="44">
        <f t="shared" si="36"/>
        <v>0</v>
      </c>
      <c r="H164" s="44">
        <f t="shared" si="37"/>
        <v>0</v>
      </c>
      <c r="I164" s="44">
        <f t="shared" si="38"/>
        <v>0</v>
      </c>
      <c r="J164" s="44">
        <f t="shared" si="39"/>
        <v>0</v>
      </c>
      <c r="K164" s="44">
        <f t="shared" si="40"/>
        <v>0</v>
      </c>
      <c r="L164" s="44">
        <f t="shared" ref="L164:L170" si="63">K164</f>
        <v>0</v>
      </c>
      <c r="M164" s="44">
        <f t="shared" si="41"/>
        <v>0</v>
      </c>
    </row>
    <row r="165" spans="1:13" s="32" customFormat="1" ht="18.95" customHeight="1" x14ac:dyDescent="0.25">
      <c r="A165" s="17">
        <v>38401</v>
      </c>
      <c r="B165" s="8" t="s">
        <v>172</v>
      </c>
      <c r="C165" s="44">
        <v>1250000</v>
      </c>
      <c r="D165" s="44">
        <f>-1000000-250000</f>
        <v>-1250000</v>
      </c>
      <c r="E165" s="44">
        <v>0</v>
      </c>
      <c r="F165" s="44">
        <v>0</v>
      </c>
      <c r="G165" s="44">
        <f t="shared" si="36"/>
        <v>0</v>
      </c>
      <c r="H165" s="44">
        <f t="shared" si="37"/>
        <v>0</v>
      </c>
      <c r="I165" s="44">
        <f t="shared" si="38"/>
        <v>0</v>
      </c>
      <c r="J165" s="44">
        <f t="shared" si="39"/>
        <v>0</v>
      </c>
      <c r="K165" s="44">
        <f t="shared" si="40"/>
        <v>0</v>
      </c>
      <c r="L165" s="44">
        <f t="shared" si="63"/>
        <v>0</v>
      </c>
      <c r="M165" s="44">
        <f t="shared" si="41"/>
        <v>0</v>
      </c>
    </row>
    <row r="166" spans="1:13" s="32" customFormat="1" ht="18.95" customHeight="1" x14ac:dyDescent="0.25">
      <c r="A166" s="17">
        <v>38501</v>
      </c>
      <c r="B166" s="8" t="s">
        <v>85</v>
      </c>
      <c r="C166" s="44">
        <v>0</v>
      </c>
      <c r="D166" s="44">
        <v>0</v>
      </c>
      <c r="E166" s="44">
        <v>0</v>
      </c>
      <c r="F166" s="44">
        <v>0</v>
      </c>
      <c r="G166" s="44">
        <f t="shared" si="36"/>
        <v>0</v>
      </c>
      <c r="H166" s="44">
        <f t="shared" si="37"/>
        <v>0</v>
      </c>
      <c r="I166" s="44">
        <f t="shared" si="38"/>
        <v>0</v>
      </c>
      <c r="J166" s="44">
        <f t="shared" si="39"/>
        <v>0</v>
      </c>
      <c r="K166" s="44">
        <f t="shared" si="40"/>
        <v>0</v>
      </c>
      <c r="L166" s="44">
        <f t="shared" si="63"/>
        <v>0</v>
      </c>
      <c r="M166" s="44">
        <f t="shared" si="41"/>
        <v>0</v>
      </c>
    </row>
    <row r="167" spans="1:13" s="72" customFormat="1" ht="20.100000000000001" customHeight="1" x14ac:dyDescent="0.25">
      <c r="A167" s="65">
        <v>3900</v>
      </c>
      <c r="B167" s="71" t="s">
        <v>214</v>
      </c>
      <c r="C167" s="64">
        <f t="shared" ref="C167:M167" si="64">SUM(C168:C171)</f>
        <v>2346756</v>
      </c>
      <c r="D167" s="64">
        <f t="shared" si="64"/>
        <v>313661.5</v>
      </c>
      <c r="E167" s="64">
        <v>2660417.5</v>
      </c>
      <c r="F167" s="64">
        <f t="shared" si="64"/>
        <v>2660417.5</v>
      </c>
      <c r="G167" s="64">
        <f t="shared" si="64"/>
        <v>0</v>
      </c>
      <c r="H167" s="64">
        <f t="shared" si="64"/>
        <v>2660417.5</v>
      </c>
      <c r="I167" s="64">
        <f t="shared" si="64"/>
        <v>0</v>
      </c>
      <c r="J167" s="64">
        <f t="shared" si="64"/>
        <v>0</v>
      </c>
      <c r="K167" s="64">
        <f t="shared" si="64"/>
        <v>2660417.5</v>
      </c>
      <c r="L167" s="64">
        <f t="shared" si="64"/>
        <v>1311005</v>
      </c>
      <c r="M167" s="64">
        <f t="shared" si="64"/>
        <v>1349412.5</v>
      </c>
    </row>
    <row r="168" spans="1:13" s="32" customFormat="1" ht="18.95" customHeight="1" x14ac:dyDescent="0.25">
      <c r="A168" s="17">
        <v>39203</v>
      </c>
      <c r="B168" s="8" t="s">
        <v>86</v>
      </c>
      <c r="C168" s="44">
        <v>2346756</v>
      </c>
      <c r="D168" s="44">
        <v>-997343.5</v>
      </c>
      <c r="E168" s="44">
        <v>1349412.5</v>
      </c>
      <c r="F168" s="44">
        <v>1349412.5</v>
      </c>
      <c r="G168" s="44">
        <f t="shared" si="36"/>
        <v>0</v>
      </c>
      <c r="H168" s="44">
        <f t="shared" si="37"/>
        <v>1349412.5</v>
      </c>
      <c r="I168" s="44">
        <f t="shared" si="38"/>
        <v>0</v>
      </c>
      <c r="J168" s="44">
        <f t="shared" si="39"/>
        <v>0</v>
      </c>
      <c r="K168" s="44">
        <f t="shared" si="40"/>
        <v>1349412.5</v>
      </c>
      <c r="L168" s="44">
        <v>0</v>
      </c>
      <c r="M168" s="44">
        <v>1349412.5</v>
      </c>
    </row>
    <row r="169" spans="1:13" s="32" customFormat="1" ht="18.95" customHeight="1" x14ac:dyDescent="0.25">
      <c r="A169" s="17">
        <v>39206</v>
      </c>
      <c r="B169" s="8" t="s">
        <v>86</v>
      </c>
      <c r="C169" s="44">
        <v>0</v>
      </c>
      <c r="D169" s="44">
        <v>0</v>
      </c>
      <c r="E169" s="44">
        <v>0</v>
      </c>
      <c r="F169" s="44">
        <v>0</v>
      </c>
      <c r="G169" s="44">
        <f t="shared" ref="G169" si="65">E169-F169</f>
        <v>0</v>
      </c>
      <c r="H169" s="44">
        <f t="shared" ref="H169" si="66">F169</f>
        <v>0</v>
      </c>
      <c r="I169" s="44">
        <f t="shared" ref="I169" si="67">F169-H169</f>
        <v>0</v>
      </c>
      <c r="J169" s="44">
        <f t="shared" ref="J169" si="68">E169-H169</f>
        <v>0</v>
      </c>
      <c r="K169" s="44">
        <f t="shared" ref="K169" si="69">F169</f>
        <v>0</v>
      </c>
      <c r="L169" s="44">
        <f t="shared" ref="L169" si="70">K169</f>
        <v>0</v>
      </c>
      <c r="M169" s="44">
        <f t="shared" ref="M169" si="71">H169-L169</f>
        <v>0</v>
      </c>
    </row>
    <row r="170" spans="1:13" s="32" customFormat="1" ht="18.95" customHeight="1" x14ac:dyDescent="0.25">
      <c r="A170" s="17">
        <v>39501</v>
      </c>
      <c r="B170" s="8" t="s">
        <v>168</v>
      </c>
      <c r="C170" s="44"/>
      <c r="D170" s="44">
        <v>0</v>
      </c>
      <c r="E170" s="44">
        <v>0</v>
      </c>
      <c r="F170" s="44">
        <v>0</v>
      </c>
      <c r="G170" s="44">
        <f t="shared" si="36"/>
        <v>0</v>
      </c>
      <c r="H170" s="44">
        <f t="shared" si="37"/>
        <v>0</v>
      </c>
      <c r="I170" s="44">
        <f t="shared" si="38"/>
        <v>0</v>
      </c>
      <c r="J170" s="44">
        <f t="shared" si="39"/>
        <v>0</v>
      </c>
      <c r="K170" s="44">
        <f t="shared" si="40"/>
        <v>0</v>
      </c>
      <c r="L170" s="44">
        <f t="shared" si="63"/>
        <v>0</v>
      </c>
      <c r="M170" s="44">
        <f t="shared" si="41"/>
        <v>0</v>
      </c>
    </row>
    <row r="171" spans="1:13" s="32" customFormat="1" ht="18.95" customHeight="1" x14ac:dyDescent="0.25">
      <c r="A171" s="17">
        <v>39602</v>
      </c>
      <c r="B171" s="8" t="s">
        <v>222</v>
      </c>
      <c r="C171" s="44">
        <v>0</v>
      </c>
      <c r="D171" s="44">
        <v>1311005</v>
      </c>
      <c r="E171" s="44">
        <v>1311005</v>
      </c>
      <c r="F171" s="44">
        <v>1311005</v>
      </c>
      <c r="G171" s="44">
        <f>E171-F171</f>
        <v>0</v>
      </c>
      <c r="H171" s="44">
        <f>F171</f>
        <v>1311005</v>
      </c>
      <c r="I171" s="44">
        <f>F171-H171</f>
        <v>0</v>
      </c>
      <c r="J171" s="44">
        <f>E171-H171</f>
        <v>0</v>
      </c>
      <c r="K171" s="44">
        <f>F171</f>
        <v>1311005</v>
      </c>
      <c r="L171" s="44">
        <f>K171</f>
        <v>1311005</v>
      </c>
      <c r="M171" s="44">
        <f>H171-L171</f>
        <v>0</v>
      </c>
    </row>
    <row r="172" spans="1:13" s="32" customFormat="1" ht="17.100000000000001" customHeight="1" thickBot="1" x14ac:dyDescent="0.3">
      <c r="A172" s="74"/>
      <c r="B172" s="77"/>
      <c r="C172" s="46" t="s">
        <v>1</v>
      </c>
      <c r="D172" s="46"/>
      <c r="E172" s="46"/>
      <c r="F172" s="46"/>
      <c r="G172" s="46"/>
      <c r="H172" s="46"/>
      <c r="I172" s="46"/>
      <c r="J172" s="46"/>
      <c r="K172" s="46"/>
      <c r="L172" s="46"/>
      <c r="M172" s="46"/>
    </row>
    <row r="173" spans="1:13" s="32" customFormat="1" ht="21.95" customHeight="1" thickBot="1" x14ac:dyDescent="0.3">
      <c r="A173" s="16"/>
      <c r="B173" s="78" t="s">
        <v>100</v>
      </c>
      <c r="C173" s="30">
        <f t="shared" ref="C173:K173" si="72">C119+C125+C129+C140+C146+C155+C157+C162+C167</f>
        <v>7196756</v>
      </c>
      <c r="D173" s="30">
        <f t="shared" si="72"/>
        <v>72720.409999999916</v>
      </c>
      <c r="E173" s="30">
        <v>7269476.4100000001</v>
      </c>
      <c r="F173" s="30">
        <f t="shared" si="72"/>
        <v>7269476.4100000001</v>
      </c>
      <c r="G173" s="30">
        <f t="shared" si="72"/>
        <v>0</v>
      </c>
      <c r="H173" s="30">
        <f t="shared" si="72"/>
        <v>7269476.4100000001</v>
      </c>
      <c r="I173" s="30">
        <f t="shared" si="72"/>
        <v>0</v>
      </c>
      <c r="J173" s="30">
        <f t="shared" si="72"/>
        <v>0</v>
      </c>
      <c r="K173" s="30">
        <f t="shared" si="72"/>
        <v>7269476.4100000001</v>
      </c>
      <c r="L173" s="30">
        <f>L119+L125+L129+L140+L146+L155+L157+L162+L167</f>
        <v>4735063.91</v>
      </c>
      <c r="M173" s="30">
        <f>M119+M125+M129+M140+M146+M155+M157+M162+M167</f>
        <v>2534412.5</v>
      </c>
    </row>
    <row r="174" spans="1:13" s="32" customFormat="1" ht="18" customHeight="1" x14ac:dyDescent="0.25">
      <c r="A174" s="79"/>
      <c r="B174" s="81"/>
      <c r="C174" s="48"/>
      <c r="D174" s="48"/>
      <c r="E174" s="48"/>
      <c r="F174" s="48"/>
      <c r="G174" s="48"/>
      <c r="H174" s="48"/>
      <c r="I174" s="48"/>
      <c r="J174" s="48"/>
      <c r="K174" s="48"/>
      <c r="L174" s="44"/>
      <c r="M174" s="48"/>
    </row>
    <row r="175" spans="1:13" s="32" customFormat="1" ht="20.100000000000001" customHeight="1" x14ac:dyDescent="0.25">
      <c r="A175" s="65">
        <v>4000</v>
      </c>
      <c r="B175" s="70" t="s">
        <v>19</v>
      </c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</row>
    <row r="176" spans="1:13" s="72" customFormat="1" ht="20.100000000000001" customHeight="1" x14ac:dyDescent="0.25">
      <c r="A176" s="65">
        <v>4400</v>
      </c>
      <c r="B176" s="70" t="s">
        <v>215</v>
      </c>
      <c r="C176" s="64">
        <f>SUM(C177:C179)</f>
        <v>1500000</v>
      </c>
      <c r="D176" s="64">
        <f t="shared" ref="D176:M176" si="73">SUM(D177:D179)</f>
        <v>-1500000</v>
      </c>
      <c r="E176" s="64">
        <v>0</v>
      </c>
      <c r="F176" s="64">
        <f t="shared" si="73"/>
        <v>0</v>
      </c>
      <c r="G176" s="64">
        <f t="shared" si="73"/>
        <v>0</v>
      </c>
      <c r="H176" s="64">
        <f t="shared" si="73"/>
        <v>0</v>
      </c>
      <c r="I176" s="64">
        <f t="shared" si="73"/>
        <v>0</v>
      </c>
      <c r="J176" s="64">
        <f t="shared" si="73"/>
        <v>0</v>
      </c>
      <c r="K176" s="64">
        <f t="shared" si="73"/>
        <v>0</v>
      </c>
      <c r="L176" s="64">
        <f t="shared" si="73"/>
        <v>0</v>
      </c>
      <c r="M176" s="64">
        <f t="shared" si="73"/>
        <v>0</v>
      </c>
    </row>
    <row r="177" spans="1:13" s="32" customFormat="1" ht="18.95" customHeight="1" x14ac:dyDescent="0.25">
      <c r="A177" s="17">
        <v>44101</v>
      </c>
      <c r="B177" s="82" t="s">
        <v>129</v>
      </c>
      <c r="C177" s="44">
        <v>250000</v>
      </c>
      <c r="D177" s="44">
        <f>-100000-150000</f>
        <v>-250000</v>
      </c>
      <c r="E177" s="44">
        <v>0</v>
      </c>
      <c r="F177" s="44">
        <v>0</v>
      </c>
      <c r="G177" s="44">
        <f>E177-F177</f>
        <v>0</v>
      </c>
      <c r="H177" s="44">
        <f>F177</f>
        <v>0</v>
      </c>
      <c r="I177" s="44">
        <f>F177-H177</f>
        <v>0</v>
      </c>
      <c r="J177" s="44">
        <f>E177-H177</f>
        <v>0</v>
      </c>
      <c r="K177" s="44">
        <f>F177</f>
        <v>0</v>
      </c>
      <c r="L177" s="44">
        <f t="shared" ref="L177:L201" si="74">K177</f>
        <v>0</v>
      </c>
      <c r="M177" s="44">
        <f>H177-L177</f>
        <v>0</v>
      </c>
    </row>
    <row r="178" spans="1:13" s="32" customFormat="1" ht="18.95" customHeight="1" x14ac:dyDescent="0.25">
      <c r="A178" s="25">
        <v>44102</v>
      </c>
      <c r="B178" s="83" t="s">
        <v>160</v>
      </c>
      <c r="C178" s="50">
        <v>250000</v>
      </c>
      <c r="D178" s="50">
        <f>-100000-150000</f>
        <v>-250000</v>
      </c>
      <c r="E178" s="44">
        <v>0</v>
      </c>
      <c r="F178" s="50">
        <v>0</v>
      </c>
      <c r="G178" s="44">
        <f t="shared" ref="G178:G179" si="75">E178-F178</f>
        <v>0</v>
      </c>
      <c r="H178" s="44">
        <f>F178</f>
        <v>0</v>
      </c>
      <c r="I178" s="44">
        <f t="shared" ref="I178:I179" si="76">F178-H178</f>
        <v>0</v>
      </c>
      <c r="J178" s="44">
        <f t="shared" ref="J178:J179" si="77">E178-H178</f>
        <v>0</v>
      </c>
      <c r="K178" s="44">
        <f>F178</f>
        <v>0</v>
      </c>
      <c r="L178" s="44">
        <f t="shared" si="74"/>
        <v>0</v>
      </c>
      <c r="M178" s="44">
        <f>H178-L178</f>
        <v>0</v>
      </c>
    </row>
    <row r="179" spans="1:13" s="32" customFormat="1" ht="18.95" customHeight="1" x14ac:dyDescent="0.25">
      <c r="A179" s="25">
        <v>44103</v>
      </c>
      <c r="B179" s="84" t="s">
        <v>132</v>
      </c>
      <c r="C179" s="50">
        <v>1000000</v>
      </c>
      <c r="D179" s="50">
        <v>-1000000</v>
      </c>
      <c r="E179" s="44">
        <v>0</v>
      </c>
      <c r="F179" s="50">
        <v>0</v>
      </c>
      <c r="G179" s="44">
        <f t="shared" si="75"/>
        <v>0</v>
      </c>
      <c r="H179" s="44">
        <f t="shared" ref="H179" si="78">F179</f>
        <v>0</v>
      </c>
      <c r="I179" s="44">
        <f t="shared" si="76"/>
        <v>0</v>
      </c>
      <c r="J179" s="44">
        <f t="shared" si="77"/>
        <v>0</v>
      </c>
      <c r="K179" s="44">
        <f t="shared" ref="K179" si="79">F179</f>
        <v>0</v>
      </c>
      <c r="L179" s="44">
        <f t="shared" si="74"/>
        <v>0</v>
      </c>
      <c r="M179" s="44">
        <f t="shared" ref="M179" si="80">H179-L179</f>
        <v>0</v>
      </c>
    </row>
    <row r="180" spans="1:13" s="32" customFormat="1" ht="15.75" thickBot="1" x14ac:dyDescent="0.3">
      <c r="A180" s="25"/>
      <c r="B180" s="84"/>
      <c r="C180" s="50"/>
      <c r="D180" s="50"/>
      <c r="E180" s="44"/>
      <c r="F180" s="50"/>
      <c r="G180" s="50"/>
      <c r="H180" s="44"/>
      <c r="I180" s="44"/>
      <c r="J180" s="44"/>
      <c r="K180" s="44"/>
      <c r="L180" s="44"/>
      <c r="M180" s="44"/>
    </row>
    <row r="181" spans="1:13" s="32" customFormat="1" ht="21.95" customHeight="1" thickBot="1" x14ac:dyDescent="0.3">
      <c r="A181" s="16"/>
      <c r="B181" s="78" t="s">
        <v>101</v>
      </c>
      <c r="C181" s="30">
        <f>C176</f>
        <v>1500000</v>
      </c>
      <c r="D181" s="30">
        <f t="shared" ref="D181:L181" si="81">D176</f>
        <v>-1500000</v>
      </c>
      <c r="E181" s="30">
        <v>0</v>
      </c>
      <c r="F181" s="30">
        <f t="shared" si="81"/>
        <v>0</v>
      </c>
      <c r="G181" s="30">
        <f t="shared" si="81"/>
        <v>0</v>
      </c>
      <c r="H181" s="30">
        <f t="shared" si="81"/>
        <v>0</v>
      </c>
      <c r="I181" s="30">
        <f t="shared" si="81"/>
        <v>0</v>
      </c>
      <c r="J181" s="30">
        <f t="shared" si="81"/>
        <v>0</v>
      </c>
      <c r="K181" s="30">
        <f t="shared" si="81"/>
        <v>0</v>
      </c>
      <c r="L181" s="30">
        <f t="shared" si="81"/>
        <v>0</v>
      </c>
      <c r="M181" s="30">
        <f>SUM(M179:M180)</f>
        <v>0</v>
      </c>
    </row>
    <row r="182" spans="1:13" s="32" customFormat="1" x14ac:dyDescent="0.25">
      <c r="A182" s="79"/>
      <c r="B182" s="80"/>
      <c r="C182" s="48"/>
      <c r="D182" s="48"/>
      <c r="E182" s="48"/>
      <c r="F182" s="48"/>
      <c r="G182" s="48"/>
      <c r="H182" s="48"/>
      <c r="I182" s="48"/>
      <c r="J182" s="48"/>
      <c r="K182" s="48"/>
      <c r="L182" s="44"/>
      <c r="M182" s="48"/>
    </row>
    <row r="183" spans="1:13" s="32" customFormat="1" ht="21.95" customHeight="1" x14ac:dyDescent="0.25">
      <c r="A183" s="65">
        <v>5000</v>
      </c>
      <c r="B183" s="70" t="s">
        <v>20</v>
      </c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</row>
    <row r="184" spans="1:13" s="72" customFormat="1" ht="21.95" customHeight="1" x14ac:dyDescent="0.25">
      <c r="A184" s="65">
        <v>5100</v>
      </c>
      <c r="B184" s="70" t="s">
        <v>216</v>
      </c>
      <c r="C184" s="64">
        <f>SUM(C185:C188)</f>
        <v>2000000</v>
      </c>
      <c r="D184" s="64">
        <f t="shared" ref="D184:M184" si="82">SUM(D185:D188)</f>
        <v>1069602.25</v>
      </c>
      <c r="E184" s="64">
        <v>3069602.25</v>
      </c>
      <c r="F184" s="64">
        <f t="shared" si="82"/>
        <v>3069602.25</v>
      </c>
      <c r="G184" s="64">
        <f t="shared" si="82"/>
        <v>0</v>
      </c>
      <c r="H184" s="64">
        <f t="shared" si="82"/>
        <v>3069602.25</v>
      </c>
      <c r="I184" s="64">
        <f t="shared" si="82"/>
        <v>0</v>
      </c>
      <c r="J184" s="64">
        <f t="shared" si="82"/>
        <v>0</v>
      </c>
      <c r="K184" s="64">
        <f t="shared" si="82"/>
        <v>3069602.25</v>
      </c>
      <c r="L184" s="64">
        <f t="shared" si="82"/>
        <v>496444.66999999993</v>
      </c>
      <c r="M184" s="64">
        <f t="shared" si="82"/>
        <v>2573157.58</v>
      </c>
    </row>
    <row r="185" spans="1:13" s="32" customFormat="1" ht="18.95" customHeight="1" x14ac:dyDescent="0.25">
      <c r="A185" s="17">
        <v>51101</v>
      </c>
      <c r="B185" s="8" t="s">
        <v>149</v>
      </c>
      <c r="C185" s="44">
        <v>500000</v>
      </c>
      <c r="D185" s="44">
        <v>798945.51</v>
      </c>
      <c r="E185" s="44">
        <v>1298945.51</v>
      </c>
      <c r="F185" s="44">
        <v>1298945.51</v>
      </c>
      <c r="G185" s="44">
        <f>E185-F185</f>
        <v>0</v>
      </c>
      <c r="H185" s="44">
        <f>F185</f>
        <v>1298945.51</v>
      </c>
      <c r="I185" s="44">
        <f>F185-H185</f>
        <v>0</v>
      </c>
      <c r="J185" s="44">
        <f>E185-H185</f>
        <v>0</v>
      </c>
      <c r="K185" s="44">
        <f>F185</f>
        <v>1298945.51</v>
      </c>
      <c r="L185" s="44">
        <f>K185-M185</f>
        <v>202810.46999999997</v>
      </c>
      <c r="M185" s="44">
        <v>1096135.04</v>
      </c>
    </row>
    <row r="186" spans="1:13" s="32" customFormat="1" ht="18.95" customHeight="1" x14ac:dyDescent="0.25">
      <c r="A186" s="17">
        <v>51301</v>
      </c>
      <c r="B186" s="8" t="s">
        <v>89</v>
      </c>
      <c r="C186" s="44">
        <v>0</v>
      </c>
      <c r="D186" s="44">
        <v>0</v>
      </c>
      <c r="E186" s="44">
        <v>0</v>
      </c>
      <c r="F186" s="44">
        <v>0</v>
      </c>
      <c r="G186" s="44">
        <f t="shared" ref="G186:G203" si="83">E186-F186</f>
        <v>0</v>
      </c>
      <c r="H186" s="44">
        <f>F186</f>
        <v>0</v>
      </c>
      <c r="I186" s="44"/>
      <c r="J186" s="44">
        <f t="shared" ref="J186:J203" si="84">E186-H186</f>
        <v>0</v>
      </c>
      <c r="K186" s="44">
        <f t="shared" ref="K186:K203" si="85">F186</f>
        <v>0</v>
      </c>
      <c r="L186" s="44">
        <f t="shared" si="74"/>
        <v>0</v>
      </c>
      <c r="M186" s="44"/>
    </row>
    <row r="187" spans="1:13" s="32" customFormat="1" ht="18.95" customHeight="1" x14ac:dyDescent="0.25">
      <c r="A187" s="17">
        <v>51501</v>
      </c>
      <c r="B187" s="8" t="s">
        <v>88</v>
      </c>
      <c r="C187" s="44">
        <v>1250000</v>
      </c>
      <c r="D187" s="44">
        <v>391111.5</v>
      </c>
      <c r="E187" s="44">
        <v>1641111.5</v>
      </c>
      <c r="F187" s="44">
        <v>1641111.5</v>
      </c>
      <c r="G187" s="44">
        <f t="shared" si="83"/>
        <v>0</v>
      </c>
      <c r="H187" s="44">
        <f t="shared" ref="H187:H203" si="86">F187</f>
        <v>1641111.5</v>
      </c>
      <c r="I187" s="44">
        <f t="shared" ref="I187:I203" si="87">F187-H187</f>
        <v>0</v>
      </c>
      <c r="J187" s="44">
        <f t="shared" si="84"/>
        <v>0</v>
      </c>
      <c r="K187" s="44">
        <f t="shared" si="85"/>
        <v>1641111.5</v>
      </c>
      <c r="L187" s="44">
        <f>K187-M187</f>
        <v>164088.95999999996</v>
      </c>
      <c r="M187" s="44">
        <v>1477022.54</v>
      </c>
    </row>
    <row r="188" spans="1:13" s="32" customFormat="1" ht="18.95" customHeight="1" x14ac:dyDescent="0.25">
      <c r="A188" s="17">
        <v>51901</v>
      </c>
      <c r="B188" s="8" t="s">
        <v>87</v>
      </c>
      <c r="C188" s="44">
        <v>250000</v>
      </c>
      <c r="D188" s="44">
        <v>-120454.76</v>
      </c>
      <c r="E188" s="44">
        <v>129545.24</v>
      </c>
      <c r="F188" s="44">
        <v>129545.24</v>
      </c>
      <c r="G188" s="44">
        <f t="shared" si="83"/>
        <v>0</v>
      </c>
      <c r="H188" s="44">
        <f t="shared" si="86"/>
        <v>129545.24</v>
      </c>
      <c r="I188" s="44">
        <f t="shared" si="87"/>
        <v>0</v>
      </c>
      <c r="J188" s="44">
        <f t="shared" si="84"/>
        <v>0</v>
      </c>
      <c r="K188" s="44">
        <f t="shared" si="85"/>
        <v>129545.24</v>
      </c>
      <c r="L188" s="44">
        <f t="shared" si="74"/>
        <v>129545.24</v>
      </c>
      <c r="M188" s="44">
        <f t="shared" ref="M188:M201" si="88">H188-L188</f>
        <v>0</v>
      </c>
    </row>
    <row r="189" spans="1:13" s="72" customFormat="1" ht="30" x14ac:dyDescent="0.25">
      <c r="A189" s="65">
        <v>5200</v>
      </c>
      <c r="B189" s="71" t="s">
        <v>217</v>
      </c>
      <c r="C189" s="64">
        <f>SUM(C190:C193)</f>
        <v>250000</v>
      </c>
      <c r="D189" s="64">
        <f t="shared" ref="D189:M189" si="89">SUM(D190:D193)</f>
        <v>307351.46000000002</v>
      </c>
      <c r="E189" s="64">
        <v>557351.46</v>
      </c>
      <c r="F189" s="64">
        <f t="shared" si="89"/>
        <v>557351.46</v>
      </c>
      <c r="G189" s="64">
        <f t="shared" si="89"/>
        <v>0</v>
      </c>
      <c r="H189" s="64">
        <f t="shared" si="89"/>
        <v>557351.46</v>
      </c>
      <c r="I189" s="64">
        <f t="shared" si="89"/>
        <v>0</v>
      </c>
      <c r="J189" s="64">
        <f t="shared" si="89"/>
        <v>0</v>
      </c>
      <c r="K189" s="64">
        <f t="shared" si="89"/>
        <v>557351.46</v>
      </c>
      <c r="L189" s="64">
        <f t="shared" si="89"/>
        <v>447550.5</v>
      </c>
      <c r="M189" s="64">
        <f t="shared" si="89"/>
        <v>109800.96000000001</v>
      </c>
    </row>
    <row r="190" spans="1:13" s="32" customFormat="1" ht="18.95" customHeight="1" x14ac:dyDescent="0.25">
      <c r="A190" s="17">
        <v>52101</v>
      </c>
      <c r="B190" s="8" t="s">
        <v>150</v>
      </c>
      <c r="C190" s="44">
        <v>0</v>
      </c>
      <c r="D190" s="44">
        <v>85544.2</v>
      </c>
      <c r="E190" s="44">
        <v>85544.2</v>
      </c>
      <c r="F190" s="44">
        <v>85544.2</v>
      </c>
      <c r="G190" s="44">
        <f t="shared" si="83"/>
        <v>0</v>
      </c>
      <c r="H190" s="44">
        <f t="shared" si="86"/>
        <v>85544.2</v>
      </c>
      <c r="I190" s="44">
        <f t="shared" si="87"/>
        <v>0</v>
      </c>
      <c r="J190" s="44">
        <f t="shared" si="84"/>
        <v>0</v>
      </c>
      <c r="K190" s="44">
        <f t="shared" si="85"/>
        <v>85544.2</v>
      </c>
      <c r="L190" s="44">
        <f t="shared" si="74"/>
        <v>85544.2</v>
      </c>
      <c r="M190" s="44"/>
    </row>
    <row r="191" spans="1:13" s="32" customFormat="1" ht="18.95" customHeight="1" x14ac:dyDescent="0.25">
      <c r="A191" s="17">
        <v>52301</v>
      </c>
      <c r="B191" s="8" t="s">
        <v>158</v>
      </c>
      <c r="C191" s="44">
        <v>0</v>
      </c>
      <c r="D191" s="44">
        <v>0</v>
      </c>
      <c r="E191" s="44">
        <v>0</v>
      </c>
      <c r="F191" s="44">
        <v>0</v>
      </c>
      <c r="G191" s="44">
        <f t="shared" si="83"/>
        <v>0</v>
      </c>
      <c r="H191" s="44">
        <f t="shared" si="86"/>
        <v>0</v>
      </c>
      <c r="I191" s="44">
        <f t="shared" si="87"/>
        <v>0</v>
      </c>
      <c r="J191" s="44">
        <f t="shared" si="84"/>
        <v>0</v>
      </c>
      <c r="K191" s="44">
        <f t="shared" si="85"/>
        <v>0</v>
      </c>
      <c r="L191" s="44">
        <f t="shared" si="74"/>
        <v>0</v>
      </c>
      <c r="M191" s="44"/>
    </row>
    <row r="192" spans="1:13" s="32" customFormat="1" ht="18.95" customHeight="1" x14ac:dyDescent="0.25">
      <c r="A192" s="17">
        <v>52901</v>
      </c>
      <c r="B192" s="8" t="s">
        <v>151</v>
      </c>
      <c r="C192" s="44">
        <v>250000</v>
      </c>
      <c r="D192" s="44">
        <v>-61365.440000000002</v>
      </c>
      <c r="E192" s="44">
        <v>188634.56</v>
      </c>
      <c r="F192" s="44">
        <v>188634.56</v>
      </c>
      <c r="G192" s="44">
        <f t="shared" si="83"/>
        <v>0</v>
      </c>
      <c r="H192" s="44">
        <f t="shared" si="86"/>
        <v>188634.56</v>
      </c>
      <c r="I192" s="44">
        <f t="shared" si="87"/>
        <v>0</v>
      </c>
      <c r="J192" s="44">
        <f t="shared" si="84"/>
        <v>0</v>
      </c>
      <c r="K192" s="44">
        <f t="shared" si="85"/>
        <v>188634.56</v>
      </c>
      <c r="L192" s="44">
        <f>K192-M192</f>
        <v>78833.599999999991</v>
      </c>
      <c r="M192" s="44">
        <v>109800.96000000001</v>
      </c>
    </row>
    <row r="193" spans="1:13" s="32" customFormat="1" ht="18.95" customHeight="1" x14ac:dyDescent="0.25">
      <c r="A193" s="17">
        <v>52902</v>
      </c>
      <c r="B193" s="8" t="s">
        <v>152</v>
      </c>
      <c r="C193" s="44">
        <v>0</v>
      </c>
      <c r="D193" s="44">
        <v>283172.7</v>
      </c>
      <c r="E193" s="44">
        <v>283172.7</v>
      </c>
      <c r="F193" s="44">
        <v>283172.7</v>
      </c>
      <c r="G193" s="44">
        <f t="shared" si="83"/>
        <v>0</v>
      </c>
      <c r="H193" s="44">
        <f t="shared" si="86"/>
        <v>283172.7</v>
      </c>
      <c r="I193" s="44">
        <f t="shared" si="87"/>
        <v>0</v>
      </c>
      <c r="J193" s="44">
        <f t="shared" si="84"/>
        <v>0</v>
      </c>
      <c r="K193" s="44">
        <f t="shared" si="85"/>
        <v>283172.7</v>
      </c>
      <c r="L193" s="44">
        <f t="shared" si="74"/>
        <v>283172.7</v>
      </c>
      <c r="M193" s="44">
        <f t="shared" si="88"/>
        <v>0</v>
      </c>
    </row>
    <row r="194" spans="1:13" s="72" customFormat="1" ht="30" x14ac:dyDescent="0.25">
      <c r="A194" s="65">
        <v>5300</v>
      </c>
      <c r="B194" s="71" t="s">
        <v>218</v>
      </c>
      <c r="C194" s="64">
        <f>SUM(C195:C195)</f>
        <v>250000</v>
      </c>
      <c r="D194" s="64">
        <f>SUM(D195:D195)</f>
        <v>-202316</v>
      </c>
      <c r="E194" s="64">
        <v>47684</v>
      </c>
      <c r="F194" s="64">
        <f t="shared" ref="F194:M194" si="90">SUM(F195)</f>
        <v>47684</v>
      </c>
      <c r="G194" s="64">
        <f t="shared" si="90"/>
        <v>0</v>
      </c>
      <c r="H194" s="64">
        <f t="shared" si="90"/>
        <v>47684</v>
      </c>
      <c r="I194" s="64">
        <f t="shared" si="90"/>
        <v>0</v>
      </c>
      <c r="J194" s="64">
        <f t="shared" si="90"/>
        <v>0</v>
      </c>
      <c r="K194" s="64">
        <f t="shared" si="90"/>
        <v>47684</v>
      </c>
      <c r="L194" s="64">
        <f t="shared" si="90"/>
        <v>47684</v>
      </c>
      <c r="M194" s="64">
        <f t="shared" si="90"/>
        <v>0</v>
      </c>
    </row>
    <row r="195" spans="1:13" s="32" customFormat="1" ht="18.95" customHeight="1" x14ac:dyDescent="0.25">
      <c r="A195" s="17">
        <v>53101</v>
      </c>
      <c r="B195" s="8" t="s">
        <v>143</v>
      </c>
      <c r="C195" s="44">
        <v>250000</v>
      </c>
      <c r="D195" s="44">
        <v>-202316</v>
      </c>
      <c r="E195" s="44">
        <v>47684</v>
      </c>
      <c r="F195" s="44">
        <v>47684</v>
      </c>
      <c r="G195" s="44">
        <f t="shared" si="83"/>
        <v>0</v>
      </c>
      <c r="H195" s="44">
        <f t="shared" si="86"/>
        <v>47684</v>
      </c>
      <c r="I195" s="44">
        <f t="shared" si="87"/>
        <v>0</v>
      </c>
      <c r="J195" s="44">
        <f t="shared" si="84"/>
        <v>0</v>
      </c>
      <c r="K195" s="44">
        <f t="shared" si="85"/>
        <v>47684</v>
      </c>
      <c r="L195" s="44">
        <f t="shared" si="74"/>
        <v>47684</v>
      </c>
      <c r="M195" s="44"/>
    </row>
    <row r="196" spans="1:13" s="72" customFormat="1" ht="20.100000000000001" customHeight="1" x14ac:dyDescent="0.25">
      <c r="A196" s="65">
        <v>5400</v>
      </c>
      <c r="B196" s="71" t="s">
        <v>219</v>
      </c>
      <c r="C196" s="64">
        <f>SUM(C197:C197)</f>
        <v>0</v>
      </c>
      <c r="D196" s="64">
        <f>SUM(D197:D197)</f>
        <v>0</v>
      </c>
      <c r="E196" s="64">
        <v>0</v>
      </c>
      <c r="F196" s="64">
        <f t="shared" ref="F196:M196" si="91">SUM(F197)</f>
        <v>0</v>
      </c>
      <c r="G196" s="64">
        <f t="shared" si="91"/>
        <v>0</v>
      </c>
      <c r="H196" s="64">
        <f t="shared" si="91"/>
        <v>0</v>
      </c>
      <c r="I196" s="64">
        <f t="shared" si="91"/>
        <v>0</v>
      </c>
      <c r="J196" s="64">
        <f t="shared" si="91"/>
        <v>0</v>
      </c>
      <c r="K196" s="64">
        <f t="shared" si="91"/>
        <v>0</v>
      </c>
      <c r="L196" s="64">
        <f t="shared" si="91"/>
        <v>0</v>
      </c>
      <c r="M196" s="64">
        <f t="shared" si="91"/>
        <v>0</v>
      </c>
    </row>
    <row r="197" spans="1:13" s="32" customFormat="1" ht="18.95" customHeight="1" x14ac:dyDescent="0.25">
      <c r="A197" s="17">
        <v>54104</v>
      </c>
      <c r="B197" s="8" t="s">
        <v>153</v>
      </c>
      <c r="C197" s="44">
        <v>0</v>
      </c>
      <c r="D197" s="44">
        <v>0</v>
      </c>
      <c r="E197" s="44">
        <v>0</v>
      </c>
      <c r="F197" s="44">
        <v>0</v>
      </c>
      <c r="G197" s="44">
        <f t="shared" si="83"/>
        <v>0</v>
      </c>
      <c r="H197" s="44">
        <f t="shared" si="86"/>
        <v>0</v>
      </c>
      <c r="I197" s="44">
        <f t="shared" si="87"/>
        <v>0</v>
      </c>
      <c r="J197" s="44">
        <f t="shared" si="84"/>
        <v>0</v>
      </c>
      <c r="K197" s="44">
        <f t="shared" si="85"/>
        <v>0</v>
      </c>
      <c r="L197" s="44">
        <f t="shared" si="74"/>
        <v>0</v>
      </c>
      <c r="M197" s="44">
        <f t="shared" si="88"/>
        <v>0</v>
      </c>
    </row>
    <row r="198" spans="1:13" s="72" customFormat="1" ht="20.100000000000001" customHeight="1" x14ac:dyDescent="0.25">
      <c r="A198" s="65">
        <v>5600</v>
      </c>
      <c r="B198" s="71" t="s">
        <v>220</v>
      </c>
      <c r="C198" s="64">
        <f t="shared" ref="C198:M198" si="92">SUM(C199:C203)</f>
        <v>546240</v>
      </c>
      <c r="D198" s="64">
        <f t="shared" si="92"/>
        <v>24924487.550000001</v>
      </c>
      <c r="E198" s="64">
        <v>25470727.550000001</v>
      </c>
      <c r="F198" s="64">
        <f t="shared" si="92"/>
        <v>25470727.550000001</v>
      </c>
      <c r="G198" s="64">
        <f t="shared" si="92"/>
        <v>0</v>
      </c>
      <c r="H198" s="64">
        <f t="shared" si="92"/>
        <v>25470727.550000001</v>
      </c>
      <c r="I198" s="64">
        <f t="shared" si="92"/>
        <v>0</v>
      </c>
      <c r="J198" s="64">
        <f t="shared" si="92"/>
        <v>0</v>
      </c>
      <c r="K198" s="64">
        <f t="shared" si="92"/>
        <v>25470727.550000001</v>
      </c>
      <c r="L198" s="64">
        <f t="shared" si="92"/>
        <v>470727.55</v>
      </c>
      <c r="M198" s="64">
        <f t="shared" si="92"/>
        <v>25000000</v>
      </c>
    </row>
    <row r="199" spans="1:13" s="32" customFormat="1" ht="18.95" customHeight="1" x14ac:dyDescent="0.25">
      <c r="A199" s="17">
        <v>56401</v>
      </c>
      <c r="B199" s="8" t="s">
        <v>154</v>
      </c>
      <c r="C199" s="44">
        <v>400000</v>
      </c>
      <c r="D199" s="44">
        <v>-400000</v>
      </c>
      <c r="E199" s="44">
        <v>0</v>
      </c>
      <c r="F199" s="44">
        <v>0</v>
      </c>
      <c r="G199" s="44">
        <f t="shared" si="83"/>
        <v>0</v>
      </c>
      <c r="H199" s="44">
        <f t="shared" si="86"/>
        <v>0</v>
      </c>
      <c r="I199" s="44">
        <f t="shared" si="87"/>
        <v>0</v>
      </c>
      <c r="J199" s="44">
        <f t="shared" si="84"/>
        <v>0</v>
      </c>
      <c r="K199" s="44">
        <f t="shared" si="85"/>
        <v>0</v>
      </c>
      <c r="L199" s="44">
        <f t="shared" si="74"/>
        <v>0</v>
      </c>
      <c r="M199" s="44">
        <f t="shared" si="88"/>
        <v>0</v>
      </c>
    </row>
    <row r="200" spans="1:13" s="32" customFormat="1" ht="30" x14ac:dyDescent="0.25">
      <c r="A200" s="17">
        <v>56501</v>
      </c>
      <c r="B200" s="8" t="s">
        <v>155</v>
      </c>
      <c r="C200" s="44">
        <v>0</v>
      </c>
      <c r="D200" s="44">
        <v>2400</v>
      </c>
      <c r="E200" s="44">
        <v>2400</v>
      </c>
      <c r="F200" s="44">
        <v>2400</v>
      </c>
      <c r="G200" s="44">
        <f t="shared" si="83"/>
        <v>0</v>
      </c>
      <c r="H200" s="44">
        <f t="shared" si="86"/>
        <v>2400</v>
      </c>
      <c r="I200" s="44">
        <f t="shared" si="87"/>
        <v>0</v>
      </c>
      <c r="J200" s="44">
        <f t="shared" si="84"/>
        <v>0</v>
      </c>
      <c r="K200" s="44">
        <f t="shared" si="85"/>
        <v>2400</v>
      </c>
      <c r="L200" s="44">
        <f t="shared" si="74"/>
        <v>2400</v>
      </c>
      <c r="M200" s="44">
        <f t="shared" si="88"/>
        <v>0</v>
      </c>
    </row>
    <row r="201" spans="1:13" s="32" customFormat="1" ht="18.95" customHeight="1" x14ac:dyDescent="0.25">
      <c r="A201" s="25">
        <v>56601</v>
      </c>
      <c r="B201" s="84" t="s">
        <v>156</v>
      </c>
      <c r="C201" s="50">
        <v>0</v>
      </c>
      <c r="D201" s="50">
        <v>20550</v>
      </c>
      <c r="E201" s="44">
        <v>20550</v>
      </c>
      <c r="F201" s="50">
        <v>20550</v>
      </c>
      <c r="G201" s="44">
        <f t="shared" si="83"/>
        <v>0</v>
      </c>
      <c r="H201" s="44">
        <f t="shared" si="86"/>
        <v>20550</v>
      </c>
      <c r="I201" s="44">
        <f t="shared" si="87"/>
        <v>0</v>
      </c>
      <c r="J201" s="44">
        <f t="shared" si="84"/>
        <v>0</v>
      </c>
      <c r="K201" s="44">
        <f t="shared" si="85"/>
        <v>20550</v>
      </c>
      <c r="L201" s="44">
        <f t="shared" si="74"/>
        <v>20550</v>
      </c>
      <c r="M201" s="44">
        <f t="shared" si="88"/>
        <v>0</v>
      </c>
    </row>
    <row r="202" spans="1:13" s="32" customFormat="1" ht="18.95" customHeight="1" x14ac:dyDescent="0.25">
      <c r="A202" s="17">
        <v>56701</v>
      </c>
      <c r="B202" s="8" t="s">
        <v>157</v>
      </c>
      <c r="C202" s="44">
        <v>146240</v>
      </c>
      <c r="D202" s="44">
        <v>301537.55</v>
      </c>
      <c r="E202" s="44">
        <v>447777.55</v>
      </c>
      <c r="F202" s="44">
        <v>447777.55</v>
      </c>
      <c r="G202" s="44">
        <f t="shared" ref="G202" si="93">E202-F202</f>
        <v>0</v>
      </c>
      <c r="H202" s="44">
        <f t="shared" ref="H202" si="94">F202</f>
        <v>447777.55</v>
      </c>
      <c r="I202" s="44">
        <f t="shared" ref="I202" si="95">F202-H202</f>
        <v>0</v>
      </c>
      <c r="J202" s="44">
        <f t="shared" ref="J202" si="96">E202-H202</f>
        <v>0</v>
      </c>
      <c r="K202" s="44">
        <f t="shared" ref="K202" si="97">F202</f>
        <v>447777.55</v>
      </c>
      <c r="L202" s="44">
        <f t="shared" ref="L202" si="98">K202</f>
        <v>447777.55</v>
      </c>
      <c r="M202" s="44">
        <f t="shared" ref="M202" si="99">H202-L202</f>
        <v>0</v>
      </c>
    </row>
    <row r="203" spans="1:13" s="32" customFormat="1" ht="18.95" customHeight="1" x14ac:dyDescent="0.25">
      <c r="A203" s="17">
        <v>58904</v>
      </c>
      <c r="B203" s="8" t="s">
        <v>249</v>
      </c>
      <c r="C203" s="44">
        <v>0</v>
      </c>
      <c r="D203" s="44">
        <v>25000000</v>
      </c>
      <c r="E203" s="44">
        <v>25000000</v>
      </c>
      <c r="F203" s="44">
        <v>25000000</v>
      </c>
      <c r="G203" s="44">
        <f t="shared" si="83"/>
        <v>0</v>
      </c>
      <c r="H203" s="44">
        <f t="shared" si="86"/>
        <v>25000000</v>
      </c>
      <c r="I203" s="44">
        <f t="shared" si="87"/>
        <v>0</v>
      </c>
      <c r="J203" s="44">
        <f t="shared" si="84"/>
        <v>0</v>
      </c>
      <c r="K203" s="44">
        <f t="shared" si="85"/>
        <v>25000000</v>
      </c>
      <c r="L203" s="44">
        <v>0</v>
      </c>
      <c r="M203" s="44">
        <v>25000000</v>
      </c>
    </row>
    <row r="204" spans="1:13" s="32" customFormat="1" ht="18.95" customHeight="1" thickBot="1" x14ac:dyDescent="0.3">
      <c r="A204" s="74"/>
      <c r="B204" s="75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</row>
    <row r="205" spans="1:13" s="32" customFormat="1" ht="21.95" customHeight="1" thickBot="1" x14ac:dyDescent="0.3">
      <c r="A205" s="16"/>
      <c r="B205" s="78" t="s">
        <v>102</v>
      </c>
      <c r="C205" s="30">
        <f t="shared" ref="C205:M205" si="100">C184+C189+C194+C196+C198</f>
        <v>3046240</v>
      </c>
      <c r="D205" s="30">
        <f t="shared" si="100"/>
        <v>26099125.260000002</v>
      </c>
      <c r="E205" s="30">
        <v>29145365.260000002</v>
      </c>
      <c r="F205" s="30">
        <f t="shared" si="100"/>
        <v>29145365.260000002</v>
      </c>
      <c r="G205" s="30">
        <f t="shared" si="100"/>
        <v>0</v>
      </c>
      <c r="H205" s="30">
        <f t="shared" si="100"/>
        <v>29145365.260000002</v>
      </c>
      <c r="I205" s="30">
        <f t="shared" si="100"/>
        <v>0</v>
      </c>
      <c r="J205" s="30">
        <f t="shared" si="100"/>
        <v>0</v>
      </c>
      <c r="K205" s="30">
        <f t="shared" si="100"/>
        <v>29145365.260000002</v>
      </c>
      <c r="L205" s="30">
        <f t="shared" si="100"/>
        <v>1462406.72</v>
      </c>
      <c r="M205" s="30">
        <f t="shared" si="100"/>
        <v>27682958.539999999</v>
      </c>
    </row>
    <row r="206" spans="1:13" s="32" customFormat="1" ht="21.95" customHeight="1" x14ac:dyDescent="0.25">
      <c r="A206" s="96"/>
      <c r="B206" s="97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</row>
    <row r="207" spans="1:13" s="32" customFormat="1" ht="20.100000000000001" customHeight="1" x14ac:dyDescent="0.25">
      <c r="A207" s="65">
        <v>6000</v>
      </c>
      <c r="B207" s="70" t="s">
        <v>233</v>
      </c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</row>
    <row r="208" spans="1:13" s="72" customFormat="1" ht="20.100000000000001" customHeight="1" x14ac:dyDescent="0.25">
      <c r="A208" s="65">
        <v>61000</v>
      </c>
      <c r="B208" s="70" t="s">
        <v>234</v>
      </c>
      <c r="C208" s="64">
        <f t="shared" ref="C208:M208" si="101">SUM(C209:C209)</f>
        <v>25000000</v>
      </c>
      <c r="D208" s="64">
        <f t="shared" si="101"/>
        <v>-25000000</v>
      </c>
      <c r="E208" s="64">
        <v>0</v>
      </c>
      <c r="F208" s="64">
        <f t="shared" si="101"/>
        <v>0</v>
      </c>
      <c r="G208" s="64">
        <f t="shared" si="101"/>
        <v>0</v>
      </c>
      <c r="H208" s="64">
        <f t="shared" si="101"/>
        <v>0</v>
      </c>
      <c r="I208" s="64">
        <f t="shared" si="101"/>
        <v>0</v>
      </c>
      <c r="J208" s="64">
        <f t="shared" si="101"/>
        <v>0</v>
      </c>
      <c r="K208" s="64">
        <f t="shared" si="101"/>
        <v>0</v>
      </c>
      <c r="L208" s="64">
        <f t="shared" si="101"/>
        <v>0</v>
      </c>
      <c r="M208" s="64">
        <f t="shared" si="101"/>
        <v>0</v>
      </c>
    </row>
    <row r="209" spans="1:13" s="32" customFormat="1" ht="18.95" customHeight="1" x14ac:dyDescent="0.25">
      <c r="A209" s="17">
        <v>61202</v>
      </c>
      <c r="B209" s="82" t="s">
        <v>232</v>
      </c>
      <c r="C209" s="44">
        <v>25000000</v>
      </c>
      <c r="D209" s="44">
        <v>-25000000</v>
      </c>
      <c r="E209" s="44">
        <v>0</v>
      </c>
      <c r="F209" s="44">
        <v>0</v>
      </c>
      <c r="G209" s="44">
        <f>E209-F209</f>
        <v>0</v>
      </c>
      <c r="H209" s="44">
        <f>F209</f>
        <v>0</v>
      </c>
      <c r="I209" s="44">
        <f>F209-H209</f>
        <v>0</v>
      </c>
      <c r="J209" s="44">
        <f>E209-H209</f>
        <v>0</v>
      </c>
      <c r="K209" s="44">
        <f>F209</f>
        <v>0</v>
      </c>
      <c r="L209" s="44">
        <f t="shared" ref="L209" si="102">K209</f>
        <v>0</v>
      </c>
      <c r="M209" s="44">
        <f>H209-L209</f>
        <v>0</v>
      </c>
    </row>
    <row r="210" spans="1:13" s="32" customFormat="1" ht="15.75" thickBot="1" x14ac:dyDescent="0.3">
      <c r="A210" s="25"/>
      <c r="B210" s="84"/>
      <c r="C210" s="50"/>
      <c r="D210" s="50"/>
      <c r="E210" s="44"/>
      <c r="F210" s="50"/>
      <c r="G210" s="50"/>
      <c r="H210" s="44"/>
      <c r="I210" s="44"/>
      <c r="J210" s="44"/>
      <c r="K210" s="44"/>
      <c r="L210" s="44"/>
      <c r="M210" s="44"/>
    </row>
    <row r="211" spans="1:13" s="32" customFormat="1" ht="21.95" customHeight="1" thickBot="1" x14ac:dyDescent="0.3">
      <c r="A211" s="16"/>
      <c r="B211" s="78" t="s">
        <v>231</v>
      </c>
      <c r="C211" s="30">
        <f>C208</f>
        <v>25000000</v>
      </c>
      <c r="D211" s="30">
        <f t="shared" ref="D211:L211" si="103">D208</f>
        <v>-25000000</v>
      </c>
      <c r="E211" s="30">
        <v>0</v>
      </c>
      <c r="F211" s="30">
        <f t="shared" si="103"/>
        <v>0</v>
      </c>
      <c r="G211" s="30">
        <f t="shared" si="103"/>
        <v>0</v>
      </c>
      <c r="H211" s="30">
        <f t="shared" si="103"/>
        <v>0</v>
      </c>
      <c r="I211" s="30">
        <f t="shared" si="103"/>
        <v>0</v>
      </c>
      <c r="J211" s="30">
        <f t="shared" si="103"/>
        <v>0</v>
      </c>
      <c r="K211" s="30">
        <f t="shared" si="103"/>
        <v>0</v>
      </c>
      <c r="L211" s="30">
        <f t="shared" si="103"/>
        <v>0</v>
      </c>
      <c r="M211" s="30">
        <f>SUM(M210:M210)</f>
        <v>0</v>
      </c>
    </row>
    <row r="212" spans="1:13" s="32" customFormat="1" ht="15.75" thickBot="1" x14ac:dyDescent="0.3">
      <c r="A212" s="98"/>
      <c r="B212" s="99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</row>
    <row r="213" spans="1:13" s="32" customFormat="1" ht="30.75" customHeight="1" thickBot="1" x14ac:dyDescent="0.3">
      <c r="A213" s="16"/>
      <c r="B213" s="16" t="s">
        <v>21</v>
      </c>
      <c r="C213" s="30">
        <f t="shared" ref="C213:K213" si="104">C72+C116+C173+C181+C205+C211</f>
        <v>39342996</v>
      </c>
      <c r="D213" s="30">
        <f t="shared" si="104"/>
        <v>-696280.55999999866</v>
      </c>
      <c r="E213" s="30">
        <v>38646715.439999998</v>
      </c>
      <c r="F213" s="30">
        <f t="shared" si="104"/>
        <v>38646715.439999998</v>
      </c>
      <c r="G213" s="30">
        <f t="shared" si="104"/>
        <v>0</v>
      </c>
      <c r="H213" s="30">
        <f t="shared" si="104"/>
        <v>38646715.439999998</v>
      </c>
      <c r="I213" s="30">
        <f t="shared" si="104"/>
        <v>0</v>
      </c>
      <c r="J213" s="30">
        <f t="shared" si="104"/>
        <v>0</v>
      </c>
      <c r="K213" s="30">
        <f t="shared" si="104"/>
        <v>38646715.439999998</v>
      </c>
      <c r="L213" s="30">
        <f>L72+L116+L173+L181+L205+L211</f>
        <v>8429344.4000000004</v>
      </c>
      <c r="M213" s="30">
        <f>M72+M116+M173+M181+M205+M211</f>
        <v>30217371.039999999</v>
      </c>
    </row>
    <row r="214" spans="1:13" ht="66.75" customHeight="1" x14ac:dyDescent="0.25">
      <c r="A214" s="105" t="s">
        <v>171</v>
      </c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</row>
    <row r="215" spans="1:13" ht="32.25" customHeight="1" x14ac:dyDescent="0.25">
      <c r="A215" s="100" t="s">
        <v>22</v>
      </c>
      <c r="B215" s="100"/>
      <c r="C215" s="100"/>
      <c r="D215" s="100" t="s">
        <v>23</v>
      </c>
      <c r="E215" s="100"/>
      <c r="F215" s="100"/>
      <c r="G215" s="100"/>
      <c r="H215" s="100"/>
      <c r="I215" s="55"/>
      <c r="J215" s="100" t="s">
        <v>24</v>
      </c>
      <c r="K215" s="100"/>
      <c r="L215" s="100"/>
      <c r="M215" s="55"/>
    </row>
    <row r="216" spans="1:13" ht="15.75" x14ac:dyDescent="0.25">
      <c r="A216" s="100"/>
      <c r="B216" s="100"/>
      <c r="C216" s="100"/>
      <c r="D216" s="55"/>
      <c r="E216" s="66"/>
      <c r="F216" s="55"/>
      <c r="G216" s="100"/>
      <c r="H216" s="100"/>
      <c r="I216" s="55"/>
      <c r="J216" s="100"/>
      <c r="K216" s="100"/>
      <c r="L216" s="55"/>
      <c r="M216" s="55"/>
    </row>
    <row r="217" spans="1:13" ht="15.75" x14ac:dyDescent="0.25">
      <c r="A217" s="55"/>
      <c r="B217" s="55"/>
      <c r="C217" s="67"/>
      <c r="D217" s="67"/>
      <c r="E217" s="68"/>
      <c r="F217" s="67"/>
      <c r="G217" s="68"/>
      <c r="H217" s="67"/>
      <c r="I217" s="67"/>
      <c r="J217" s="67"/>
      <c r="K217" s="67"/>
      <c r="L217" s="67"/>
      <c r="M217" s="67"/>
    </row>
    <row r="218" spans="1:13" ht="15.75" x14ac:dyDescent="0.25">
      <c r="A218" s="55"/>
      <c r="B218" s="55"/>
      <c r="C218" s="55"/>
      <c r="D218" s="57"/>
      <c r="E218" s="58"/>
      <c r="F218" s="57"/>
      <c r="G218" s="56"/>
      <c r="H218" s="55"/>
      <c r="I218" s="55"/>
      <c r="J218" s="55"/>
      <c r="K218" s="55"/>
      <c r="L218" s="55"/>
      <c r="M218" s="55"/>
    </row>
    <row r="219" spans="1:13" ht="15.75" customHeight="1" x14ac:dyDescent="0.25">
      <c r="A219" s="101" t="s">
        <v>25</v>
      </c>
      <c r="B219" s="101"/>
      <c r="C219" s="101"/>
      <c r="D219" s="102" t="s">
        <v>175</v>
      </c>
      <c r="E219" s="102"/>
      <c r="F219" s="102"/>
      <c r="G219" s="102"/>
      <c r="H219" s="57"/>
      <c r="I219" s="55"/>
      <c r="J219" s="101" t="s">
        <v>169</v>
      </c>
      <c r="K219" s="101"/>
      <c r="L219" s="101"/>
      <c r="M219" s="55"/>
    </row>
    <row r="220" spans="1:13" ht="15.75" x14ac:dyDescent="0.25">
      <c r="A220" s="100" t="s">
        <v>26</v>
      </c>
      <c r="B220" s="100"/>
      <c r="C220" s="100"/>
      <c r="D220" s="100" t="s">
        <v>27</v>
      </c>
      <c r="E220" s="100"/>
      <c r="F220" s="100"/>
      <c r="G220" s="100"/>
      <c r="H220" s="55"/>
      <c r="I220" s="100" t="s">
        <v>28</v>
      </c>
      <c r="J220" s="100"/>
      <c r="K220" s="100"/>
      <c r="L220" s="100"/>
      <c r="M220" s="55"/>
    </row>
  </sheetData>
  <mergeCells count="16">
    <mergeCell ref="A220:C220"/>
    <mergeCell ref="D220:G220"/>
    <mergeCell ref="I220:L220"/>
    <mergeCell ref="A216:C216"/>
    <mergeCell ref="G216:H216"/>
    <mergeCell ref="J216:K216"/>
    <mergeCell ref="A219:C219"/>
    <mergeCell ref="D219:G219"/>
    <mergeCell ref="J219:L219"/>
    <mergeCell ref="A2:M2"/>
    <mergeCell ref="A4:M4"/>
    <mergeCell ref="A214:M214"/>
    <mergeCell ref="A215:C215"/>
    <mergeCell ref="D215:F215"/>
    <mergeCell ref="G215:H215"/>
    <mergeCell ref="J215:L215"/>
  </mergeCells>
  <conditionalFormatting sqref="G215:G216 G180 G174:G175 G172 G74 G1:G4 G71 G182:G183 G117:G118 G204 G212 G7:G8 G221:G1048576 G218">
    <cfRule type="cellIs" dxfId="5" priority="4" operator="lessThan">
      <formula>0</formula>
    </cfRule>
  </conditionalFormatting>
  <conditionalFormatting sqref="E221:E1048576 E1:E4 E7:E8 E216 D215 E218">
    <cfRule type="cellIs" dxfId="4" priority="2" operator="lessThan">
      <formula>0</formula>
    </cfRule>
    <cfRule type="cellIs" dxfId="3" priority="3" operator="lessThan">
      <formula>0</formula>
    </cfRule>
  </conditionalFormatting>
  <conditionalFormatting sqref="G210 G207">
    <cfRule type="cellIs" dxfId="2" priority="1" operator="lessThan">
      <formula>0</formula>
    </cfRule>
  </conditionalFormatting>
  <printOptions horizontalCentered="1"/>
  <pageMargins left="0.15748031496062992" right="0.15748031496062992" top="0.62992125984251968" bottom="0.39370078740157483" header="0.31496062992125984" footer="0.31496062992125984"/>
  <pageSetup paperSize="9" scale="60" fitToHeight="3" orientation="landscape" r:id="rId1"/>
  <headerFooter>
    <oddHeader xml:space="preserve">&amp;C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65FF"/>
  </sheetPr>
  <dimension ref="A1:G145"/>
  <sheetViews>
    <sheetView showRuler="0" zoomScaleNormal="100" zoomScalePageLayoutView="83" workbookViewId="0">
      <pane ySplit="5" topLeftCell="A6" activePane="bottomLeft" state="frozen"/>
      <selection pane="bottomLeft" activeCell="C18" sqref="C18"/>
    </sheetView>
  </sheetViews>
  <sheetFormatPr baseColWidth="10" defaultRowHeight="15" x14ac:dyDescent="0.25"/>
  <cols>
    <col min="1" max="1" width="13.7109375" style="59" customWidth="1"/>
    <col min="2" max="2" width="44.5703125" customWidth="1"/>
    <col min="3" max="3" width="19.140625" customWidth="1"/>
    <col min="4" max="4" width="17" bestFit="1" customWidth="1"/>
    <col min="5" max="5" width="19.28515625" style="32" customWidth="1"/>
    <col min="6" max="6" width="17.5703125" customWidth="1"/>
  </cols>
  <sheetData>
    <row r="1" spans="1:6" ht="14.45" x14ac:dyDescent="0.35">
      <c r="A1" s="1"/>
      <c r="B1" s="2"/>
      <c r="C1" s="2"/>
      <c r="D1" s="2"/>
      <c r="E1" s="2"/>
      <c r="F1" s="2"/>
    </row>
    <row r="2" spans="1:6" ht="15.75" customHeight="1" x14ac:dyDescent="0.3">
      <c r="A2" s="103" t="s">
        <v>0</v>
      </c>
      <c r="B2" s="103"/>
      <c r="C2" s="103"/>
      <c r="D2" s="103"/>
      <c r="E2" s="103"/>
      <c r="F2" s="103"/>
    </row>
    <row r="3" spans="1:6" ht="9.75" customHeight="1" x14ac:dyDescent="0.35">
      <c r="A3" s="3"/>
      <c r="B3" s="3" t="s">
        <v>1</v>
      </c>
      <c r="C3" s="3"/>
      <c r="D3" s="3"/>
      <c r="E3" s="3"/>
      <c r="F3" s="3"/>
    </row>
    <row r="4" spans="1:6" ht="17.100000000000001" customHeight="1" x14ac:dyDescent="0.35">
      <c r="A4" s="104" t="s">
        <v>225</v>
      </c>
      <c r="B4" s="104"/>
      <c r="C4" s="104"/>
      <c r="D4" s="104"/>
      <c r="E4" s="104"/>
      <c r="F4" s="104"/>
    </row>
    <row r="5" spans="1:6" ht="29.1" x14ac:dyDescent="0.35">
      <c r="A5" s="27"/>
      <c r="B5" s="28" t="s">
        <v>2</v>
      </c>
      <c r="C5" s="29" t="s">
        <v>181</v>
      </c>
      <c r="D5" s="29" t="s">
        <v>182</v>
      </c>
      <c r="E5" s="29" t="s">
        <v>183</v>
      </c>
      <c r="F5" s="29" t="s">
        <v>184</v>
      </c>
    </row>
    <row r="6" spans="1:6" s="22" customFormat="1" ht="20.100000000000001" customHeight="1" x14ac:dyDescent="0.35">
      <c r="A6" s="35" t="s">
        <v>1</v>
      </c>
      <c r="B6" s="28" t="s">
        <v>12</v>
      </c>
      <c r="C6" s="28">
        <v>1</v>
      </c>
      <c r="D6" s="28">
        <v>2</v>
      </c>
      <c r="E6" s="28">
        <v>3</v>
      </c>
      <c r="F6" s="28">
        <v>4</v>
      </c>
    </row>
    <row r="7" spans="1:6" ht="18" customHeight="1" x14ac:dyDescent="0.35">
      <c r="A7" s="36"/>
      <c r="B7" s="37"/>
      <c r="C7" s="38"/>
      <c r="D7" s="38"/>
      <c r="E7" s="39"/>
      <c r="F7" s="38"/>
    </row>
    <row r="8" spans="1:6" ht="21.95" customHeight="1" x14ac:dyDescent="0.35">
      <c r="A8" s="6">
        <v>1000</v>
      </c>
      <c r="B8" s="7" t="s">
        <v>17</v>
      </c>
      <c r="C8" s="43"/>
      <c r="D8" s="43"/>
      <c r="E8" s="44"/>
      <c r="F8" s="43"/>
    </row>
    <row r="9" spans="1:6" ht="21.95" customHeight="1" x14ac:dyDescent="0.35">
      <c r="A9" s="6"/>
      <c r="B9" s="7"/>
      <c r="C9" s="43"/>
      <c r="D9" s="43"/>
      <c r="E9" s="44"/>
      <c r="F9" s="43"/>
    </row>
    <row r="10" spans="1:6" ht="18.95" customHeight="1" x14ac:dyDescent="0.35">
      <c r="A10" s="17">
        <v>11301</v>
      </c>
      <c r="B10" s="5" t="s">
        <v>29</v>
      </c>
      <c r="C10" s="44"/>
      <c r="D10" s="44"/>
      <c r="E10" s="44"/>
      <c r="F10" s="43">
        <f>C10+D10+E10</f>
        <v>0</v>
      </c>
    </row>
    <row r="11" spans="1:6" ht="30" x14ac:dyDescent="0.25">
      <c r="A11" s="15">
        <v>13101</v>
      </c>
      <c r="B11" s="5" t="s">
        <v>90</v>
      </c>
      <c r="C11" s="44"/>
      <c r="D11" s="44"/>
      <c r="E11" s="44"/>
      <c r="F11" s="43">
        <f t="shared" ref="F11:F39" si="0">C11+D11+E11</f>
        <v>0</v>
      </c>
    </row>
    <row r="12" spans="1:6" ht="18.95" customHeight="1" x14ac:dyDescent="0.25">
      <c r="A12" s="15">
        <v>13103</v>
      </c>
      <c r="B12" s="5" t="s">
        <v>104</v>
      </c>
      <c r="C12" s="26"/>
      <c r="D12" s="26"/>
      <c r="E12" s="26"/>
      <c r="F12" s="43">
        <f t="shared" si="0"/>
        <v>0</v>
      </c>
    </row>
    <row r="13" spans="1:6" ht="18.95" customHeight="1" x14ac:dyDescent="0.35">
      <c r="A13" s="15">
        <v>13201</v>
      </c>
      <c r="B13" s="5" t="s">
        <v>161</v>
      </c>
      <c r="C13" s="44"/>
      <c r="D13" s="44"/>
      <c r="E13" s="44"/>
      <c r="F13" s="43">
        <f t="shared" si="0"/>
        <v>0</v>
      </c>
    </row>
    <row r="14" spans="1:6" ht="18.95" customHeight="1" x14ac:dyDescent="0.25">
      <c r="A14" s="15">
        <v>13202</v>
      </c>
      <c r="B14" s="5" t="s">
        <v>31</v>
      </c>
      <c r="C14" s="44"/>
      <c r="D14" s="44"/>
      <c r="E14" s="44"/>
      <c r="F14" s="43">
        <f t="shared" si="0"/>
        <v>0</v>
      </c>
    </row>
    <row r="15" spans="1:6" ht="30" x14ac:dyDescent="0.25">
      <c r="A15" s="15">
        <v>13409</v>
      </c>
      <c r="B15" s="5" t="s">
        <v>33</v>
      </c>
      <c r="C15" s="44"/>
      <c r="D15" s="44"/>
      <c r="E15" s="44"/>
      <c r="F15" s="43">
        <f t="shared" si="0"/>
        <v>0</v>
      </c>
    </row>
    <row r="16" spans="1:6" ht="18.95" customHeight="1" x14ac:dyDescent="0.25">
      <c r="A16" s="15">
        <v>13416</v>
      </c>
      <c r="B16" s="5" t="s">
        <v>106</v>
      </c>
      <c r="C16" s="44"/>
      <c r="D16" s="44"/>
      <c r="E16" s="44"/>
      <c r="F16" s="43">
        <f t="shared" si="0"/>
        <v>0</v>
      </c>
    </row>
    <row r="17" spans="1:6" ht="30" x14ac:dyDescent="0.25">
      <c r="A17" s="17">
        <v>13417</v>
      </c>
      <c r="B17" s="5" t="s">
        <v>107</v>
      </c>
      <c r="C17" s="44"/>
      <c r="D17" s="44"/>
      <c r="E17" s="44"/>
      <c r="F17" s="43">
        <f t="shared" si="0"/>
        <v>0</v>
      </c>
    </row>
    <row r="18" spans="1:6" ht="18.95" customHeight="1" x14ac:dyDescent="0.35">
      <c r="A18" s="15">
        <v>14101</v>
      </c>
      <c r="B18" s="5" t="s">
        <v>35</v>
      </c>
      <c r="C18" s="44"/>
      <c r="D18" s="44"/>
      <c r="E18" s="44"/>
      <c r="F18" s="43">
        <f t="shared" si="0"/>
        <v>0</v>
      </c>
    </row>
    <row r="19" spans="1:6" ht="30" x14ac:dyDescent="0.25">
      <c r="A19" s="15">
        <v>14105</v>
      </c>
      <c r="B19" s="5" t="s">
        <v>36</v>
      </c>
      <c r="C19" s="44"/>
      <c r="D19" s="44"/>
      <c r="E19" s="44"/>
      <c r="F19" s="43">
        <f t="shared" si="0"/>
        <v>0</v>
      </c>
    </row>
    <row r="20" spans="1:6" ht="18.95" customHeight="1" x14ac:dyDescent="0.35">
      <c r="A20" s="15">
        <v>14201</v>
      </c>
      <c r="B20" s="5" t="s">
        <v>37</v>
      </c>
      <c r="C20" s="44"/>
      <c r="D20" s="44"/>
      <c r="E20" s="44"/>
      <c r="F20" s="43">
        <f t="shared" si="0"/>
        <v>0</v>
      </c>
    </row>
    <row r="21" spans="1:6" ht="18.95" customHeight="1" x14ac:dyDescent="0.35">
      <c r="A21" s="15">
        <v>14301</v>
      </c>
      <c r="B21" s="5" t="s">
        <v>38</v>
      </c>
      <c r="C21" s="44"/>
      <c r="D21" s="44"/>
      <c r="E21" s="44"/>
      <c r="F21" s="43">
        <f t="shared" si="0"/>
        <v>0</v>
      </c>
    </row>
    <row r="22" spans="1:6" ht="18.95" customHeight="1" x14ac:dyDescent="0.35">
      <c r="A22" s="15">
        <v>14401</v>
      </c>
      <c r="B22" s="5" t="s">
        <v>133</v>
      </c>
      <c r="C22" s="44"/>
      <c r="D22" s="44"/>
      <c r="E22" s="44"/>
      <c r="F22" s="43">
        <f t="shared" si="0"/>
        <v>0</v>
      </c>
    </row>
    <row r="23" spans="1:6" ht="18.95" customHeight="1" x14ac:dyDescent="0.35">
      <c r="A23" s="15">
        <v>15203</v>
      </c>
      <c r="B23" s="5" t="s">
        <v>176</v>
      </c>
      <c r="C23" s="43"/>
      <c r="D23" s="43"/>
      <c r="E23" s="43"/>
      <c r="F23" s="43">
        <f t="shared" si="0"/>
        <v>0</v>
      </c>
    </row>
    <row r="24" spans="1:6" ht="18.95" customHeight="1" x14ac:dyDescent="0.25">
      <c r="A24" s="15">
        <v>15405</v>
      </c>
      <c r="B24" s="5" t="s">
        <v>130</v>
      </c>
      <c r="C24" s="44"/>
      <c r="D24" s="44"/>
      <c r="E24" s="44"/>
      <c r="F24" s="43">
        <f t="shared" si="0"/>
        <v>0</v>
      </c>
    </row>
    <row r="25" spans="1:6" ht="18.95" customHeight="1" x14ac:dyDescent="0.25">
      <c r="A25" s="15">
        <v>15406</v>
      </c>
      <c r="B25" s="5" t="s">
        <v>140</v>
      </c>
      <c r="C25" s="44"/>
      <c r="D25" s="44"/>
      <c r="E25" s="44"/>
      <c r="F25" s="43">
        <f t="shared" si="0"/>
        <v>0</v>
      </c>
    </row>
    <row r="26" spans="1:6" ht="18.95" customHeight="1" x14ac:dyDescent="0.25">
      <c r="A26" s="15">
        <v>15407</v>
      </c>
      <c r="B26" s="5" t="s">
        <v>108</v>
      </c>
      <c r="C26" s="44"/>
      <c r="D26" s="44"/>
      <c r="E26" s="44"/>
      <c r="F26" s="43">
        <f t="shared" si="0"/>
        <v>0</v>
      </c>
    </row>
    <row r="27" spans="1:6" ht="18.95" customHeight="1" x14ac:dyDescent="0.25">
      <c r="A27" s="15">
        <v>15412</v>
      </c>
      <c r="B27" s="5" t="s">
        <v>110</v>
      </c>
      <c r="C27" s="44"/>
      <c r="D27" s="44"/>
      <c r="E27" s="44"/>
      <c r="F27" s="43">
        <f t="shared" si="0"/>
        <v>0</v>
      </c>
    </row>
    <row r="28" spans="1:6" ht="18.95" customHeight="1" x14ac:dyDescent="0.25">
      <c r="A28" s="15">
        <v>15413</v>
      </c>
      <c r="B28" s="5" t="s">
        <v>111</v>
      </c>
      <c r="C28" s="44"/>
      <c r="D28" s="44"/>
      <c r="E28" s="44"/>
      <c r="F28" s="43">
        <f t="shared" si="0"/>
        <v>0</v>
      </c>
    </row>
    <row r="29" spans="1:6" ht="18.95" customHeight="1" x14ac:dyDescent="0.25">
      <c r="A29" s="15">
        <v>15414</v>
      </c>
      <c r="B29" s="5" t="s">
        <v>112</v>
      </c>
      <c r="C29" s="44"/>
      <c r="D29" s="44"/>
      <c r="E29" s="44"/>
      <c r="F29" s="43">
        <f t="shared" si="0"/>
        <v>0</v>
      </c>
    </row>
    <row r="30" spans="1:6" ht="18.95" customHeight="1" x14ac:dyDescent="0.25">
      <c r="A30" s="15">
        <v>15422</v>
      </c>
      <c r="B30" s="5" t="s">
        <v>118</v>
      </c>
      <c r="C30" s="44"/>
      <c r="D30" s="44"/>
      <c r="E30" s="44"/>
      <c r="F30" s="43">
        <f t="shared" si="0"/>
        <v>0</v>
      </c>
    </row>
    <row r="31" spans="1:6" ht="18.95" customHeight="1" x14ac:dyDescent="0.25">
      <c r="A31" s="15">
        <v>15423</v>
      </c>
      <c r="B31" s="5" t="s">
        <v>119</v>
      </c>
      <c r="C31" s="44"/>
      <c r="D31" s="44"/>
      <c r="E31" s="44"/>
      <c r="F31" s="43">
        <f t="shared" si="0"/>
        <v>0</v>
      </c>
    </row>
    <row r="32" spans="1:6" ht="18.95" customHeight="1" x14ac:dyDescent="0.25">
      <c r="A32" s="15">
        <v>15424</v>
      </c>
      <c r="B32" s="5" t="s">
        <v>120</v>
      </c>
      <c r="C32" s="44"/>
      <c r="D32" s="44"/>
      <c r="E32" s="44"/>
      <c r="F32" s="43">
        <f t="shared" si="0"/>
        <v>0</v>
      </c>
    </row>
    <row r="33" spans="1:6" ht="18.95" customHeight="1" x14ac:dyDescent="0.25">
      <c r="A33" s="17">
        <v>15426</v>
      </c>
      <c r="B33" s="5" t="s">
        <v>122</v>
      </c>
      <c r="C33" s="44"/>
      <c r="D33" s="44"/>
      <c r="E33" s="44"/>
      <c r="F33" s="43">
        <f t="shared" si="0"/>
        <v>0</v>
      </c>
    </row>
    <row r="34" spans="1:6" ht="18.95" customHeight="1" x14ac:dyDescent="0.25">
      <c r="A34" s="15">
        <v>15430</v>
      </c>
      <c r="B34" s="5" t="s">
        <v>123</v>
      </c>
      <c r="C34" s="44"/>
      <c r="D34" s="44"/>
      <c r="E34" s="44"/>
      <c r="F34" s="43">
        <f t="shared" si="0"/>
        <v>0</v>
      </c>
    </row>
    <row r="35" spans="1:6" ht="18.95" customHeight="1" x14ac:dyDescent="0.25">
      <c r="A35" s="15">
        <v>15433</v>
      </c>
      <c r="B35" s="5" t="s">
        <v>145</v>
      </c>
      <c r="C35" s="44"/>
      <c r="D35" s="44"/>
      <c r="E35" s="44"/>
      <c r="F35" s="43">
        <f t="shared" si="0"/>
        <v>0</v>
      </c>
    </row>
    <row r="36" spans="1:6" ht="18.95" customHeight="1" x14ac:dyDescent="0.25">
      <c r="A36" s="17">
        <v>15434</v>
      </c>
      <c r="B36" s="8" t="s">
        <v>128</v>
      </c>
      <c r="C36" s="44"/>
      <c r="D36" s="44"/>
      <c r="E36" s="44"/>
      <c r="F36" s="43">
        <f t="shared" si="0"/>
        <v>0</v>
      </c>
    </row>
    <row r="37" spans="1:6" ht="18.95" customHeight="1" x14ac:dyDescent="0.25">
      <c r="A37" s="15">
        <v>15901</v>
      </c>
      <c r="B37" s="5" t="s">
        <v>131</v>
      </c>
      <c r="C37" s="44"/>
      <c r="D37" s="44"/>
      <c r="E37" s="44"/>
      <c r="F37" s="43">
        <f t="shared" si="0"/>
        <v>0</v>
      </c>
    </row>
    <row r="38" spans="1:6" ht="18.95" customHeight="1" x14ac:dyDescent="0.25">
      <c r="A38" s="15">
        <v>15906</v>
      </c>
      <c r="B38" s="5" t="s">
        <v>135</v>
      </c>
      <c r="C38" s="44"/>
      <c r="D38" s="44"/>
      <c r="E38" s="44"/>
      <c r="F38" s="43">
        <f t="shared" si="0"/>
        <v>0</v>
      </c>
    </row>
    <row r="39" spans="1:6" ht="18.95" customHeight="1" x14ac:dyDescent="0.25">
      <c r="A39" s="15">
        <v>17101</v>
      </c>
      <c r="B39" s="5" t="s">
        <v>44</v>
      </c>
      <c r="C39" s="44"/>
      <c r="D39" s="44"/>
      <c r="E39" s="44"/>
      <c r="F39" s="43">
        <f t="shared" si="0"/>
        <v>0</v>
      </c>
    </row>
    <row r="40" spans="1:6" ht="15.75" thickBot="1" x14ac:dyDescent="0.3">
      <c r="A40" s="23"/>
      <c r="B40" s="33"/>
      <c r="C40" s="45"/>
      <c r="D40" s="45"/>
      <c r="E40" s="45"/>
      <c r="F40" s="45"/>
    </row>
    <row r="41" spans="1:6" ht="21.95" customHeight="1" thickBot="1" x14ac:dyDescent="0.3">
      <c r="A41" s="4"/>
      <c r="B41" s="4" t="s">
        <v>98</v>
      </c>
      <c r="C41" s="10">
        <f>SUM(C10:C40)</f>
        <v>0</v>
      </c>
      <c r="D41" s="10">
        <f>SUM(D10:D40)</f>
        <v>0</v>
      </c>
      <c r="E41" s="10">
        <f>SUM(E10:E40)</f>
        <v>0</v>
      </c>
      <c r="F41" s="10">
        <f>C41+D41+E41</f>
        <v>0</v>
      </c>
    </row>
    <row r="42" spans="1:6" ht="18" customHeight="1" x14ac:dyDescent="0.25">
      <c r="A42" s="11"/>
      <c r="B42" s="11"/>
      <c r="C42" s="21"/>
      <c r="D42" s="21"/>
      <c r="E42" s="21"/>
      <c r="F42" s="21"/>
    </row>
    <row r="43" spans="1:6" ht="21.95" customHeight="1" x14ac:dyDescent="0.25">
      <c r="A43" s="6">
        <v>2000</v>
      </c>
      <c r="B43" s="7" t="s">
        <v>18</v>
      </c>
      <c r="C43" s="43"/>
      <c r="D43" s="43"/>
      <c r="E43" s="43"/>
      <c r="F43" s="43"/>
    </row>
    <row r="44" spans="1:6" ht="18.95" customHeight="1" x14ac:dyDescent="0.25">
      <c r="A44" s="15">
        <v>21101</v>
      </c>
      <c r="B44" s="5" t="s">
        <v>46</v>
      </c>
      <c r="C44" s="43"/>
      <c r="D44" s="43"/>
      <c r="E44" s="43"/>
      <c r="F44" s="43">
        <f>C44+D44+E44</f>
        <v>0</v>
      </c>
    </row>
    <row r="45" spans="1:6" ht="18.95" customHeight="1" x14ac:dyDescent="0.25">
      <c r="A45" s="15">
        <v>21201</v>
      </c>
      <c r="B45" s="5" t="s">
        <v>146</v>
      </c>
      <c r="C45" s="43"/>
      <c r="D45" s="43"/>
      <c r="E45" s="43"/>
      <c r="F45" s="43">
        <f t="shared" ref="F45:F72" si="1">C45+D45+E45</f>
        <v>0</v>
      </c>
    </row>
    <row r="46" spans="1:6" ht="30" x14ac:dyDescent="0.25">
      <c r="A46" s="15">
        <v>21401</v>
      </c>
      <c r="B46" s="5" t="s">
        <v>47</v>
      </c>
      <c r="C46" s="43"/>
      <c r="D46" s="43"/>
      <c r="E46" s="43"/>
      <c r="F46" s="43">
        <f t="shared" si="1"/>
        <v>0</v>
      </c>
    </row>
    <row r="47" spans="1:6" ht="18.95" customHeight="1" x14ac:dyDescent="0.25">
      <c r="A47" s="15">
        <v>21501</v>
      </c>
      <c r="B47" s="5" t="s">
        <v>48</v>
      </c>
      <c r="C47" s="43"/>
      <c r="D47" s="43"/>
      <c r="E47" s="43"/>
      <c r="F47" s="43">
        <f t="shared" si="1"/>
        <v>0</v>
      </c>
    </row>
    <row r="48" spans="1:6" ht="18.95" customHeight="1" x14ac:dyDescent="0.25">
      <c r="A48" s="15">
        <v>21601</v>
      </c>
      <c r="B48" s="5" t="s">
        <v>49</v>
      </c>
      <c r="C48" s="43"/>
      <c r="D48" s="43"/>
      <c r="E48" s="43"/>
      <c r="F48" s="43">
        <f t="shared" si="1"/>
        <v>0</v>
      </c>
    </row>
    <row r="49" spans="1:6" ht="18.95" customHeight="1" x14ac:dyDescent="0.25">
      <c r="A49" s="15">
        <v>21701</v>
      </c>
      <c r="B49" s="5" t="s">
        <v>50</v>
      </c>
      <c r="C49" s="44"/>
      <c r="D49" s="44"/>
      <c r="E49" s="44"/>
      <c r="F49" s="43">
        <f t="shared" si="1"/>
        <v>0</v>
      </c>
    </row>
    <row r="50" spans="1:6" ht="45" customHeight="1" x14ac:dyDescent="0.25">
      <c r="A50" s="17">
        <v>22104</v>
      </c>
      <c r="B50" s="5" t="s">
        <v>51</v>
      </c>
      <c r="C50" s="44"/>
      <c r="D50" s="44"/>
      <c r="E50" s="44"/>
      <c r="F50" s="43">
        <f t="shared" si="1"/>
        <v>0</v>
      </c>
    </row>
    <row r="51" spans="1:6" ht="18.95" customHeight="1" x14ac:dyDescent="0.25">
      <c r="A51" s="15">
        <v>22301</v>
      </c>
      <c r="B51" s="5" t="s">
        <v>147</v>
      </c>
      <c r="C51" s="44"/>
      <c r="D51" s="44"/>
      <c r="E51" s="44"/>
      <c r="F51" s="43">
        <f t="shared" si="1"/>
        <v>0</v>
      </c>
    </row>
    <row r="52" spans="1:6" ht="18.95" customHeight="1" x14ac:dyDescent="0.25">
      <c r="A52" s="15">
        <v>24101</v>
      </c>
      <c r="B52" s="5" t="s">
        <v>137</v>
      </c>
      <c r="C52" s="44"/>
      <c r="D52" s="44"/>
      <c r="E52" s="44"/>
      <c r="F52" s="43">
        <f t="shared" si="1"/>
        <v>0</v>
      </c>
    </row>
    <row r="53" spans="1:6" ht="18.95" customHeight="1" x14ac:dyDescent="0.25">
      <c r="A53" s="15">
        <v>24201</v>
      </c>
      <c r="B53" s="5" t="s">
        <v>162</v>
      </c>
      <c r="C53" s="44"/>
      <c r="D53" s="44"/>
      <c r="E53" s="44"/>
      <c r="F53" s="43">
        <f t="shared" si="1"/>
        <v>0</v>
      </c>
    </row>
    <row r="54" spans="1:6" ht="18.95" customHeight="1" x14ac:dyDescent="0.25">
      <c r="A54" s="15">
        <v>24301</v>
      </c>
      <c r="B54" s="5" t="s">
        <v>148</v>
      </c>
      <c r="C54" s="44"/>
      <c r="D54" s="44"/>
      <c r="E54" s="44"/>
      <c r="F54" s="43">
        <f t="shared" si="1"/>
        <v>0</v>
      </c>
    </row>
    <row r="55" spans="1:6" ht="18.95" customHeight="1" x14ac:dyDescent="0.25">
      <c r="A55" s="15">
        <v>24401</v>
      </c>
      <c r="B55" s="5" t="s">
        <v>138</v>
      </c>
      <c r="C55" s="44"/>
      <c r="D55" s="44"/>
      <c r="E55" s="44"/>
      <c r="F55" s="43">
        <f t="shared" si="1"/>
        <v>0</v>
      </c>
    </row>
    <row r="56" spans="1:6" ht="18.95" customHeight="1" x14ac:dyDescent="0.25">
      <c r="A56" s="15">
        <v>24601</v>
      </c>
      <c r="B56" s="5" t="s">
        <v>52</v>
      </c>
      <c r="C56" s="44"/>
      <c r="D56" s="44"/>
      <c r="E56" s="44"/>
      <c r="F56" s="43">
        <f t="shared" si="1"/>
        <v>0</v>
      </c>
    </row>
    <row r="57" spans="1:6" ht="18.95" customHeight="1" x14ac:dyDescent="0.25">
      <c r="A57" s="15">
        <v>24701</v>
      </c>
      <c r="B57" s="5" t="s">
        <v>95</v>
      </c>
      <c r="C57" s="44"/>
      <c r="D57" s="44"/>
      <c r="E57" s="44"/>
      <c r="F57" s="43">
        <f t="shared" si="1"/>
        <v>0</v>
      </c>
    </row>
    <row r="58" spans="1:6" ht="18.95" customHeight="1" x14ac:dyDescent="0.25">
      <c r="A58" s="15">
        <v>24801</v>
      </c>
      <c r="B58" s="5" t="s">
        <v>53</v>
      </c>
      <c r="C58" s="44"/>
      <c r="D58" s="44"/>
      <c r="E58" s="44"/>
      <c r="F58" s="43">
        <f t="shared" si="1"/>
        <v>0</v>
      </c>
    </row>
    <row r="59" spans="1:6" ht="28.5" customHeight="1" x14ac:dyDescent="0.25">
      <c r="A59" s="15">
        <v>24901</v>
      </c>
      <c r="B59" s="5" t="s">
        <v>54</v>
      </c>
      <c r="C59" s="44"/>
      <c r="D59" s="44"/>
      <c r="E59" s="44"/>
      <c r="F59" s="43">
        <f t="shared" si="1"/>
        <v>0</v>
      </c>
    </row>
    <row r="60" spans="1:6" ht="18.95" customHeight="1" x14ac:dyDescent="0.25">
      <c r="A60" s="15">
        <v>25101</v>
      </c>
      <c r="B60" s="5" t="s">
        <v>55</v>
      </c>
      <c r="C60" s="44"/>
      <c r="D60" s="44"/>
      <c r="E60" s="44"/>
      <c r="F60" s="43">
        <f t="shared" si="1"/>
        <v>0</v>
      </c>
    </row>
    <row r="61" spans="1:6" ht="18.95" customHeight="1" x14ac:dyDescent="0.25">
      <c r="A61" s="15">
        <v>25201</v>
      </c>
      <c r="B61" s="5" t="s">
        <v>56</v>
      </c>
      <c r="C61" s="43"/>
      <c r="D61" s="43"/>
      <c r="E61" s="43"/>
      <c r="F61" s="43">
        <f t="shared" si="1"/>
        <v>0</v>
      </c>
    </row>
    <row r="62" spans="1:6" ht="18.95" customHeight="1" x14ac:dyDescent="0.25">
      <c r="A62" s="15">
        <v>25301</v>
      </c>
      <c r="B62" s="5" t="s">
        <v>57</v>
      </c>
      <c r="C62" s="43"/>
      <c r="D62" s="43"/>
      <c r="E62" s="43"/>
      <c r="F62" s="43">
        <f t="shared" si="1"/>
        <v>0</v>
      </c>
    </row>
    <row r="63" spans="1:6" ht="18.95" customHeight="1" x14ac:dyDescent="0.25">
      <c r="A63" s="15">
        <v>25401</v>
      </c>
      <c r="B63" s="5" t="s">
        <v>58</v>
      </c>
      <c r="C63" s="43"/>
      <c r="D63" s="43"/>
      <c r="E63" s="43"/>
      <c r="F63" s="43">
        <f t="shared" si="1"/>
        <v>0</v>
      </c>
    </row>
    <row r="64" spans="1:6" ht="30" customHeight="1" x14ac:dyDescent="0.25">
      <c r="A64" s="15">
        <v>25501</v>
      </c>
      <c r="B64" s="5" t="s">
        <v>59</v>
      </c>
      <c r="C64" s="43"/>
      <c r="D64" s="43"/>
      <c r="E64" s="43"/>
      <c r="F64" s="43">
        <f t="shared" si="1"/>
        <v>0</v>
      </c>
    </row>
    <row r="65" spans="1:6" ht="32.25" customHeight="1" x14ac:dyDescent="0.25">
      <c r="A65" s="15">
        <v>26104</v>
      </c>
      <c r="B65" s="5" t="s">
        <v>141</v>
      </c>
      <c r="C65" s="44"/>
      <c r="D65" s="44"/>
      <c r="E65" s="44"/>
      <c r="F65" s="43">
        <f t="shared" si="1"/>
        <v>0</v>
      </c>
    </row>
    <row r="66" spans="1:6" ht="18.95" customHeight="1" x14ac:dyDescent="0.25">
      <c r="A66" s="15">
        <v>27101</v>
      </c>
      <c r="B66" s="5" t="s">
        <v>60</v>
      </c>
      <c r="C66" s="44"/>
      <c r="D66" s="44"/>
      <c r="E66" s="44"/>
      <c r="F66" s="43">
        <f t="shared" si="1"/>
        <v>0</v>
      </c>
    </row>
    <row r="67" spans="1:6" ht="18.95" customHeight="1" x14ac:dyDescent="0.25">
      <c r="A67" s="15">
        <v>27201</v>
      </c>
      <c r="B67" s="5" t="s">
        <v>61</v>
      </c>
      <c r="C67" s="44"/>
      <c r="D67" s="44"/>
      <c r="E67" s="44"/>
      <c r="F67" s="43">
        <f t="shared" si="1"/>
        <v>0</v>
      </c>
    </row>
    <row r="68" spans="1:6" ht="18.95" customHeight="1" x14ac:dyDescent="0.25">
      <c r="A68" s="15">
        <v>27301</v>
      </c>
      <c r="B68" s="5" t="s">
        <v>62</v>
      </c>
      <c r="C68" s="44"/>
      <c r="D68" s="44"/>
      <c r="E68" s="44"/>
      <c r="F68" s="43">
        <f t="shared" si="1"/>
        <v>0</v>
      </c>
    </row>
    <row r="69" spans="1:6" ht="18.95" customHeight="1" x14ac:dyDescent="0.25">
      <c r="A69" s="15">
        <v>29101</v>
      </c>
      <c r="B69" s="5" t="s">
        <v>63</v>
      </c>
      <c r="C69" s="44"/>
      <c r="D69" s="44"/>
      <c r="E69" s="44"/>
      <c r="F69" s="43">
        <f t="shared" si="1"/>
        <v>0</v>
      </c>
    </row>
    <row r="70" spans="1:6" ht="18.95" customHeight="1" x14ac:dyDescent="0.25">
      <c r="A70" s="15">
        <v>29201</v>
      </c>
      <c r="B70" s="5" t="s">
        <v>94</v>
      </c>
      <c r="C70" s="43"/>
      <c r="D70" s="43"/>
      <c r="E70" s="43"/>
      <c r="F70" s="43">
        <f t="shared" si="1"/>
        <v>0</v>
      </c>
    </row>
    <row r="71" spans="1:6" ht="18.95" customHeight="1" x14ac:dyDescent="0.25">
      <c r="A71" s="15">
        <v>29301</v>
      </c>
      <c r="B71" s="5" t="s">
        <v>163</v>
      </c>
      <c r="C71" s="43"/>
      <c r="D71" s="43"/>
      <c r="E71" s="43"/>
      <c r="F71" s="43">
        <f t="shared" si="1"/>
        <v>0</v>
      </c>
    </row>
    <row r="72" spans="1:6" ht="30.75" customHeight="1" x14ac:dyDescent="0.25">
      <c r="A72" s="15">
        <v>29401</v>
      </c>
      <c r="B72" s="5" t="s">
        <v>64</v>
      </c>
      <c r="C72" s="43"/>
      <c r="D72" s="43"/>
      <c r="E72" s="43"/>
      <c r="F72" s="43">
        <f t="shared" si="1"/>
        <v>0</v>
      </c>
    </row>
    <row r="73" spans="1:6" ht="17.100000000000001" customHeight="1" thickBot="1" x14ac:dyDescent="0.3">
      <c r="A73" s="23"/>
      <c r="B73" s="24"/>
      <c r="C73" s="45"/>
      <c r="D73" s="45"/>
      <c r="E73" s="45"/>
      <c r="F73" s="45"/>
    </row>
    <row r="74" spans="1:6" ht="21.95" customHeight="1" thickBot="1" x14ac:dyDescent="0.3">
      <c r="A74" s="4"/>
      <c r="B74" s="20" t="s">
        <v>99</v>
      </c>
      <c r="C74" s="10">
        <f>SUM(C44:C72)</f>
        <v>0</v>
      </c>
      <c r="D74" s="10">
        <f>SUM(D44:D72)</f>
        <v>0</v>
      </c>
      <c r="E74" s="10">
        <f>SUM(E44:E72)</f>
        <v>0</v>
      </c>
      <c r="F74" s="10">
        <f>C74+D74+E74</f>
        <v>0</v>
      </c>
    </row>
    <row r="75" spans="1:6" x14ac:dyDescent="0.25">
      <c r="A75" s="19"/>
      <c r="B75" s="13"/>
      <c r="C75" s="47"/>
      <c r="D75" s="47"/>
      <c r="E75" s="47"/>
      <c r="F75" s="47"/>
    </row>
    <row r="76" spans="1:6" ht="21.95" customHeight="1" x14ac:dyDescent="0.25">
      <c r="A76" s="6">
        <v>3000</v>
      </c>
      <c r="B76" s="7" t="s">
        <v>103</v>
      </c>
      <c r="C76" s="43"/>
      <c r="D76" s="43"/>
      <c r="E76" s="43"/>
      <c r="F76" s="43"/>
    </row>
    <row r="77" spans="1:6" ht="18.95" customHeight="1" x14ac:dyDescent="0.25">
      <c r="A77" s="15">
        <v>31101</v>
      </c>
      <c r="B77" s="5" t="s">
        <v>91</v>
      </c>
      <c r="C77" s="44"/>
      <c r="D77" s="44"/>
      <c r="E77" s="44"/>
      <c r="F77" s="43">
        <f>C77+D77+E77</f>
        <v>0</v>
      </c>
    </row>
    <row r="78" spans="1:6" ht="18.95" customHeight="1" x14ac:dyDescent="0.25">
      <c r="A78" s="15">
        <v>31301</v>
      </c>
      <c r="B78" s="5" t="s">
        <v>65</v>
      </c>
      <c r="C78" s="43"/>
      <c r="D78" s="43"/>
      <c r="E78" s="43"/>
      <c r="F78" s="43">
        <f t="shared" ref="F78:F110" si="2">C78+D78+E78</f>
        <v>0</v>
      </c>
    </row>
    <row r="79" spans="1:6" ht="18.95" customHeight="1" x14ac:dyDescent="0.25">
      <c r="A79" s="15">
        <v>31401</v>
      </c>
      <c r="B79" s="5" t="s">
        <v>92</v>
      </c>
      <c r="C79" s="43"/>
      <c r="D79" s="43"/>
      <c r="E79" s="43"/>
      <c r="F79" s="43">
        <f t="shared" si="2"/>
        <v>0</v>
      </c>
    </row>
    <row r="80" spans="1:6" ht="18.95" customHeight="1" x14ac:dyDescent="0.25">
      <c r="A80" s="15">
        <v>31602</v>
      </c>
      <c r="B80" s="5" t="s">
        <v>66</v>
      </c>
      <c r="C80" s="43"/>
      <c r="D80" s="43"/>
      <c r="E80" s="43"/>
      <c r="F80" s="43">
        <f t="shared" si="2"/>
        <v>0</v>
      </c>
    </row>
    <row r="81" spans="1:6" ht="18.95" customHeight="1" x14ac:dyDescent="0.25">
      <c r="A81" s="15">
        <v>31801</v>
      </c>
      <c r="B81" s="5" t="s">
        <v>67</v>
      </c>
      <c r="C81" s="43"/>
      <c r="D81" s="43"/>
      <c r="E81" s="43"/>
      <c r="F81" s="43">
        <f t="shared" si="2"/>
        <v>0</v>
      </c>
    </row>
    <row r="82" spans="1:6" ht="18.95" customHeight="1" x14ac:dyDescent="0.25">
      <c r="A82" s="15">
        <v>32201</v>
      </c>
      <c r="B82" s="5" t="s">
        <v>68</v>
      </c>
      <c r="C82" s="43"/>
      <c r="D82" s="43"/>
      <c r="E82" s="43"/>
      <c r="F82" s="43">
        <f t="shared" si="2"/>
        <v>0</v>
      </c>
    </row>
    <row r="83" spans="1:6" ht="18.95" customHeight="1" x14ac:dyDescent="0.25">
      <c r="A83" s="15">
        <v>32701</v>
      </c>
      <c r="B83" s="5" t="s">
        <v>96</v>
      </c>
      <c r="C83" s="43"/>
      <c r="D83" s="43"/>
      <c r="E83" s="43"/>
      <c r="F83" s="43">
        <f t="shared" si="2"/>
        <v>0</v>
      </c>
    </row>
    <row r="84" spans="1:6" ht="30" x14ac:dyDescent="0.25">
      <c r="A84" s="15">
        <v>33101</v>
      </c>
      <c r="B84" s="5" t="s">
        <v>69</v>
      </c>
      <c r="C84" s="44"/>
      <c r="D84" s="44"/>
      <c r="E84" s="44"/>
      <c r="F84" s="43">
        <f t="shared" si="2"/>
        <v>0</v>
      </c>
    </row>
    <row r="85" spans="1:6" ht="18.95" customHeight="1" x14ac:dyDescent="0.25">
      <c r="A85" s="15">
        <v>33104</v>
      </c>
      <c r="B85" s="5" t="s">
        <v>165</v>
      </c>
      <c r="C85" s="44"/>
      <c r="D85" s="44"/>
      <c r="E85" s="44"/>
      <c r="F85" s="43">
        <f t="shared" si="2"/>
        <v>0</v>
      </c>
    </row>
    <row r="86" spans="1:6" ht="18.95" customHeight="1" x14ac:dyDescent="0.25">
      <c r="A86" s="15">
        <v>33301</v>
      </c>
      <c r="B86" s="5" t="s">
        <v>97</v>
      </c>
      <c r="C86" s="44"/>
      <c r="D86" s="44"/>
      <c r="E86" s="44"/>
      <c r="F86" s="43">
        <f t="shared" si="2"/>
        <v>0</v>
      </c>
    </row>
    <row r="87" spans="1:6" ht="18.95" customHeight="1" x14ac:dyDescent="0.25">
      <c r="A87" s="15">
        <v>33303</v>
      </c>
      <c r="B87" s="5" t="s">
        <v>173</v>
      </c>
      <c r="C87" s="44"/>
      <c r="D87" s="44"/>
      <c r="E87" s="44"/>
      <c r="F87" s="43">
        <f t="shared" si="2"/>
        <v>0</v>
      </c>
    </row>
    <row r="88" spans="1:6" ht="28.5" customHeight="1" x14ac:dyDescent="0.25">
      <c r="A88" s="15">
        <v>33401</v>
      </c>
      <c r="B88" s="5" t="s">
        <v>70</v>
      </c>
      <c r="C88" s="44"/>
      <c r="D88" s="44"/>
      <c r="E88" s="44"/>
      <c r="F88" s="43">
        <f t="shared" si="2"/>
        <v>0</v>
      </c>
    </row>
    <row r="89" spans="1:6" ht="18.95" customHeight="1" x14ac:dyDescent="0.25">
      <c r="A89" s="15">
        <v>33603</v>
      </c>
      <c r="B89" s="5" t="s">
        <v>81</v>
      </c>
      <c r="C89" s="44"/>
      <c r="D89" s="44"/>
      <c r="E89" s="44"/>
      <c r="F89" s="43">
        <f t="shared" si="2"/>
        <v>0</v>
      </c>
    </row>
    <row r="90" spans="1:6" ht="18.95" customHeight="1" x14ac:dyDescent="0.25">
      <c r="A90" s="15">
        <v>33604</v>
      </c>
      <c r="B90" s="5" t="s">
        <v>170</v>
      </c>
      <c r="C90" s="43"/>
      <c r="D90" s="43"/>
      <c r="E90" s="43"/>
      <c r="F90" s="43">
        <f t="shared" si="2"/>
        <v>0</v>
      </c>
    </row>
    <row r="91" spans="1:6" ht="18.95" customHeight="1" x14ac:dyDescent="0.25">
      <c r="A91" s="15">
        <v>33801</v>
      </c>
      <c r="B91" s="5" t="s">
        <v>71</v>
      </c>
      <c r="C91" s="43"/>
      <c r="D91" s="43"/>
      <c r="E91" s="43"/>
      <c r="F91" s="43">
        <f t="shared" si="2"/>
        <v>0</v>
      </c>
    </row>
    <row r="92" spans="1:6" ht="18.95" customHeight="1" x14ac:dyDescent="0.25">
      <c r="A92" s="15">
        <v>34101</v>
      </c>
      <c r="B92" s="5" t="s">
        <v>72</v>
      </c>
      <c r="C92" s="43"/>
      <c r="D92" s="43"/>
      <c r="E92" s="43"/>
      <c r="F92" s="43">
        <f t="shared" si="2"/>
        <v>0</v>
      </c>
    </row>
    <row r="93" spans="1:6" ht="18.95" customHeight="1" x14ac:dyDescent="0.25">
      <c r="A93" s="15">
        <v>34102</v>
      </c>
      <c r="B93" s="5" t="s">
        <v>166</v>
      </c>
      <c r="C93" s="43"/>
      <c r="D93" s="43"/>
      <c r="E93" s="43"/>
      <c r="F93" s="43">
        <f t="shared" si="2"/>
        <v>0</v>
      </c>
    </row>
    <row r="94" spans="1:6" ht="18.95" customHeight="1" x14ac:dyDescent="0.25">
      <c r="A94" s="15">
        <v>34501</v>
      </c>
      <c r="B94" s="5" t="s">
        <v>73</v>
      </c>
      <c r="C94" s="43"/>
      <c r="D94" s="43"/>
      <c r="E94" s="43"/>
      <c r="F94" s="43">
        <f t="shared" si="2"/>
        <v>0</v>
      </c>
    </row>
    <row r="95" spans="1:6" ht="18.95" customHeight="1" x14ac:dyDescent="0.25">
      <c r="A95" s="15">
        <v>34701</v>
      </c>
      <c r="B95" s="5" t="s">
        <v>74</v>
      </c>
      <c r="C95" s="43"/>
      <c r="D95" s="43"/>
      <c r="E95" s="43"/>
      <c r="F95" s="43">
        <f t="shared" si="2"/>
        <v>0</v>
      </c>
    </row>
    <row r="96" spans="1:6" ht="34.5" customHeight="1" x14ac:dyDescent="0.25">
      <c r="A96" s="15">
        <v>35101</v>
      </c>
      <c r="B96" s="5" t="s">
        <v>75</v>
      </c>
      <c r="C96" s="43"/>
      <c r="D96" s="43"/>
      <c r="E96" s="43"/>
      <c r="F96" s="43">
        <f t="shared" si="2"/>
        <v>0</v>
      </c>
    </row>
    <row r="97" spans="1:6" ht="33" customHeight="1" x14ac:dyDescent="0.25">
      <c r="A97" s="15">
        <v>35201</v>
      </c>
      <c r="B97" s="5" t="s">
        <v>76</v>
      </c>
      <c r="C97" s="43"/>
      <c r="D97" s="43"/>
      <c r="E97" s="43"/>
      <c r="F97" s="43">
        <f t="shared" si="2"/>
        <v>0</v>
      </c>
    </row>
    <row r="98" spans="1:6" ht="30.75" customHeight="1" x14ac:dyDescent="0.25">
      <c r="A98" s="15">
        <v>35301</v>
      </c>
      <c r="B98" s="5" t="s">
        <v>77</v>
      </c>
      <c r="C98" s="43"/>
      <c r="D98" s="43"/>
      <c r="E98" s="43"/>
      <c r="F98" s="43">
        <f t="shared" si="2"/>
        <v>0</v>
      </c>
    </row>
    <row r="99" spans="1:6" ht="30.75" customHeight="1" x14ac:dyDescent="0.25">
      <c r="A99" s="15">
        <v>35401</v>
      </c>
      <c r="B99" s="5" t="s">
        <v>177</v>
      </c>
      <c r="C99" s="43"/>
      <c r="D99" s="43"/>
      <c r="E99" s="43"/>
      <c r="F99" s="43">
        <f t="shared" si="2"/>
        <v>0</v>
      </c>
    </row>
    <row r="100" spans="1:6" ht="45" x14ac:dyDescent="0.25">
      <c r="A100" s="15">
        <v>35501</v>
      </c>
      <c r="B100" s="5" t="s">
        <v>78</v>
      </c>
      <c r="C100" s="43"/>
      <c r="D100" s="43"/>
      <c r="E100" s="43"/>
      <c r="F100" s="43">
        <f t="shared" si="2"/>
        <v>0</v>
      </c>
    </row>
    <row r="101" spans="1:6" ht="30" x14ac:dyDescent="0.25">
      <c r="A101" s="15">
        <v>35703</v>
      </c>
      <c r="B101" s="5" t="s">
        <v>79</v>
      </c>
      <c r="C101" s="43"/>
      <c r="D101" s="43"/>
      <c r="E101" s="43"/>
      <c r="F101" s="43">
        <f t="shared" si="2"/>
        <v>0</v>
      </c>
    </row>
    <row r="102" spans="1:6" ht="18.95" customHeight="1" x14ac:dyDescent="0.25">
      <c r="A102" s="15">
        <v>35801</v>
      </c>
      <c r="B102" s="5" t="s">
        <v>93</v>
      </c>
      <c r="C102" s="43"/>
      <c r="D102" s="43"/>
      <c r="E102" s="43"/>
      <c r="F102" s="43">
        <f t="shared" si="2"/>
        <v>0</v>
      </c>
    </row>
    <row r="103" spans="1:6" ht="18.95" customHeight="1" x14ac:dyDescent="0.25">
      <c r="A103" s="15">
        <v>35901</v>
      </c>
      <c r="B103" s="5" t="s">
        <v>80</v>
      </c>
      <c r="C103" s="44"/>
      <c r="D103" s="44"/>
      <c r="E103" s="44"/>
      <c r="F103" s="43">
        <f t="shared" si="2"/>
        <v>0</v>
      </c>
    </row>
    <row r="104" spans="1:6" ht="30" x14ac:dyDescent="0.25">
      <c r="A104" s="15">
        <v>36101</v>
      </c>
      <c r="B104" s="5" t="s">
        <v>159</v>
      </c>
      <c r="C104" s="44"/>
      <c r="D104" s="44"/>
      <c r="E104" s="44"/>
      <c r="F104" s="43">
        <f t="shared" si="2"/>
        <v>0</v>
      </c>
    </row>
    <row r="105" spans="1:6" ht="45" x14ac:dyDescent="0.25">
      <c r="A105" s="17">
        <v>37201</v>
      </c>
      <c r="B105" s="5" t="s">
        <v>82</v>
      </c>
      <c r="C105" s="43"/>
      <c r="D105" s="43"/>
      <c r="E105" s="43"/>
      <c r="F105" s="43">
        <f t="shared" si="2"/>
        <v>0</v>
      </c>
    </row>
    <row r="106" spans="1:6" ht="18.95" customHeight="1" x14ac:dyDescent="0.25">
      <c r="A106" s="15">
        <v>37501</v>
      </c>
      <c r="B106" s="5" t="s">
        <v>142</v>
      </c>
      <c r="C106" s="44"/>
      <c r="D106" s="44"/>
      <c r="E106" s="44"/>
      <c r="F106" s="43">
        <f t="shared" si="2"/>
        <v>0</v>
      </c>
    </row>
    <row r="107" spans="1:6" ht="18.95" customHeight="1" x14ac:dyDescent="0.25">
      <c r="A107" s="15">
        <v>38201</v>
      </c>
      <c r="B107" s="5" t="s">
        <v>83</v>
      </c>
      <c r="C107" s="44"/>
      <c r="D107" s="44"/>
      <c r="E107" s="44"/>
      <c r="F107" s="43">
        <f t="shared" si="2"/>
        <v>0</v>
      </c>
    </row>
    <row r="108" spans="1:6" ht="18.95" customHeight="1" x14ac:dyDescent="0.25">
      <c r="A108" s="15">
        <v>38301</v>
      </c>
      <c r="B108" s="5" t="s">
        <v>84</v>
      </c>
      <c r="C108" s="44"/>
      <c r="D108" s="44"/>
      <c r="E108" s="44"/>
      <c r="F108" s="43">
        <f t="shared" si="2"/>
        <v>0</v>
      </c>
    </row>
    <row r="109" spans="1:6" ht="18.95" customHeight="1" x14ac:dyDescent="0.25">
      <c r="A109" s="17">
        <v>38401</v>
      </c>
      <c r="B109" s="5" t="s">
        <v>172</v>
      </c>
      <c r="C109" s="44"/>
      <c r="D109" s="44"/>
      <c r="E109" s="44"/>
      <c r="F109" s="43">
        <f t="shared" si="2"/>
        <v>0</v>
      </c>
    </row>
    <row r="110" spans="1:6" ht="18.95" customHeight="1" x14ac:dyDescent="0.25">
      <c r="A110" s="17">
        <v>39206</v>
      </c>
      <c r="B110" s="5" t="s">
        <v>86</v>
      </c>
      <c r="C110" s="44"/>
      <c r="D110" s="44"/>
      <c r="E110" s="44"/>
      <c r="F110" s="43">
        <f t="shared" si="2"/>
        <v>0</v>
      </c>
    </row>
    <row r="111" spans="1:6" ht="17.100000000000001" customHeight="1" thickBot="1" x14ac:dyDescent="0.3">
      <c r="A111" s="23"/>
      <c r="B111" s="24"/>
      <c r="C111" s="45" t="s">
        <v>1</v>
      </c>
      <c r="D111" s="45" t="s">
        <v>1</v>
      </c>
      <c r="E111" s="45" t="s">
        <v>1</v>
      </c>
      <c r="F111" s="45"/>
    </row>
    <row r="112" spans="1:6" ht="21.95" customHeight="1" thickBot="1" x14ac:dyDescent="0.3">
      <c r="A112" s="4"/>
      <c r="B112" s="20" t="s">
        <v>100</v>
      </c>
      <c r="C112" s="10">
        <f>SUM(C77:C111)</f>
        <v>0</v>
      </c>
      <c r="D112" s="10">
        <f>SUM(D77:D111)</f>
        <v>0</v>
      </c>
      <c r="E112" s="10">
        <f>SUM(E77:E111)</f>
        <v>0</v>
      </c>
      <c r="F112" s="10">
        <f>C112+D112+E112</f>
        <v>0</v>
      </c>
    </row>
    <row r="113" spans="1:6" ht="18" customHeight="1" x14ac:dyDescent="0.25">
      <c r="A113" s="19"/>
      <c r="B113" s="14"/>
      <c r="C113" s="47"/>
      <c r="D113" s="47"/>
      <c r="E113" s="47"/>
      <c r="F113" s="47"/>
    </row>
    <row r="114" spans="1:6" ht="21.95" customHeight="1" x14ac:dyDescent="0.25">
      <c r="A114" s="6">
        <v>4000</v>
      </c>
      <c r="B114" s="7" t="s">
        <v>19</v>
      </c>
      <c r="C114" s="43"/>
      <c r="D114" s="43"/>
      <c r="E114" s="43"/>
      <c r="F114" s="43"/>
    </row>
    <row r="115" spans="1:6" ht="23.25" customHeight="1" x14ac:dyDescent="0.25">
      <c r="A115" s="15">
        <v>44101</v>
      </c>
      <c r="B115" s="49" t="s">
        <v>129</v>
      </c>
      <c r="C115" s="44"/>
      <c r="D115" s="44"/>
      <c r="E115" s="44"/>
      <c r="F115" s="43">
        <f>C115+D115+E115</f>
        <v>0</v>
      </c>
    </row>
    <row r="116" spans="1:6" ht="18.95" customHeight="1" x14ac:dyDescent="0.25">
      <c r="A116" s="18">
        <v>44102</v>
      </c>
      <c r="B116" s="9" t="s">
        <v>160</v>
      </c>
      <c r="C116" s="50"/>
      <c r="D116" s="50"/>
      <c r="E116" s="50"/>
      <c r="F116" s="43">
        <f t="shared" ref="F116:F117" si="3">C116+D116+E116</f>
        <v>0</v>
      </c>
    </row>
    <row r="117" spans="1:6" ht="30.75" customHeight="1" x14ac:dyDescent="0.25">
      <c r="A117" s="18">
        <v>44103</v>
      </c>
      <c r="B117" s="12" t="s">
        <v>132</v>
      </c>
      <c r="C117" s="51"/>
      <c r="D117" s="51"/>
      <c r="E117" s="51"/>
      <c r="F117" s="43">
        <f t="shared" si="3"/>
        <v>0</v>
      </c>
    </row>
    <row r="118" spans="1:6" ht="15.75" thickBot="1" x14ac:dyDescent="0.3">
      <c r="A118" s="25"/>
      <c r="B118" s="12"/>
      <c r="C118" s="51"/>
      <c r="D118" s="51"/>
      <c r="E118" s="51"/>
      <c r="F118" s="51"/>
    </row>
    <row r="119" spans="1:6" ht="21.95" customHeight="1" thickBot="1" x14ac:dyDescent="0.3">
      <c r="A119" s="16"/>
      <c r="B119" s="20" t="s">
        <v>101</v>
      </c>
      <c r="C119" s="10">
        <f t="shared" ref="C119" si="4">SUM(C115:C118)</f>
        <v>0</v>
      </c>
      <c r="D119" s="10">
        <f t="shared" ref="D119" si="5">SUM(D115:D118)</f>
        <v>0</v>
      </c>
      <c r="E119" s="10">
        <f t="shared" ref="E119" si="6">SUM(E115:E118)</f>
        <v>0</v>
      </c>
      <c r="F119" s="10">
        <f>C119+D119+E119</f>
        <v>0</v>
      </c>
    </row>
    <row r="120" spans="1:6" x14ac:dyDescent="0.25">
      <c r="A120" s="19"/>
      <c r="B120" s="13"/>
      <c r="C120" s="47"/>
      <c r="D120" s="47"/>
      <c r="E120" s="47"/>
      <c r="F120" s="47"/>
    </row>
    <row r="121" spans="1:6" ht="21.95" customHeight="1" x14ac:dyDescent="0.25">
      <c r="A121" s="6">
        <v>5000</v>
      </c>
      <c r="B121" s="7" t="s">
        <v>20</v>
      </c>
      <c r="C121" s="43"/>
      <c r="D121" s="43"/>
      <c r="E121" s="43"/>
      <c r="F121" s="43"/>
    </row>
    <row r="122" spans="1:6" ht="18.95" customHeight="1" x14ac:dyDescent="0.25">
      <c r="A122" s="15">
        <v>51101</v>
      </c>
      <c r="B122" s="5" t="s">
        <v>149</v>
      </c>
      <c r="C122" s="43"/>
      <c r="D122" s="43"/>
      <c r="E122" s="43"/>
      <c r="F122" s="43">
        <f>C122+D122+E122</f>
        <v>0</v>
      </c>
    </row>
    <row r="123" spans="1:6" ht="18.95" customHeight="1" x14ac:dyDescent="0.25">
      <c r="A123" s="15">
        <v>51301</v>
      </c>
      <c r="B123" s="5" t="s">
        <v>89</v>
      </c>
      <c r="C123" s="43"/>
      <c r="D123" s="43"/>
      <c r="E123" s="43"/>
      <c r="F123" s="43">
        <f t="shared" ref="F123:F130" si="7">C123+D123+E123</f>
        <v>0</v>
      </c>
    </row>
    <row r="124" spans="1:6" ht="18.95" customHeight="1" x14ac:dyDescent="0.25">
      <c r="A124" s="15">
        <v>51501</v>
      </c>
      <c r="B124" s="5" t="s">
        <v>88</v>
      </c>
      <c r="C124" s="43"/>
      <c r="D124" s="43"/>
      <c r="E124" s="43"/>
      <c r="F124" s="43">
        <f t="shared" si="7"/>
        <v>0</v>
      </c>
    </row>
    <row r="125" spans="1:6" ht="18.95" customHeight="1" x14ac:dyDescent="0.25">
      <c r="A125" s="15">
        <v>51901</v>
      </c>
      <c r="B125" s="5" t="s">
        <v>87</v>
      </c>
      <c r="C125" s="43"/>
      <c r="D125" s="43"/>
      <c r="E125" s="43"/>
      <c r="F125" s="43">
        <f t="shared" si="7"/>
        <v>0</v>
      </c>
    </row>
    <row r="126" spans="1:6" ht="18.95" customHeight="1" x14ac:dyDescent="0.25">
      <c r="A126" s="15">
        <v>52901</v>
      </c>
      <c r="B126" s="5" t="s">
        <v>151</v>
      </c>
      <c r="C126" s="43"/>
      <c r="D126" s="43"/>
      <c r="E126" s="43"/>
      <c r="F126" s="43">
        <f t="shared" si="7"/>
        <v>0</v>
      </c>
    </row>
    <row r="127" spans="1:6" ht="18.95" customHeight="1" x14ac:dyDescent="0.25">
      <c r="A127" s="15">
        <v>52902</v>
      </c>
      <c r="B127" s="5" t="s">
        <v>152</v>
      </c>
      <c r="C127" s="43"/>
      <c r="D127" s="43"/>
      <c r="E127" s="43"/>
      <c r="F127" s="43">
        <f t="shared" si="7"/>
        <v>0</v>
      </c>
    </row>
    <row r="128" spans="1:6" ht="18.95" customHeight="1" x14ac:dyDescent="0.25">
      <c r="A128" s="15">
        <v>53101</v>
      </c>
      <c r="B128" s="5" t="s">
        <v>143</v>
      </c>
      <c r="C128" s="43"/>
      <c r="D128" s="43"/>
      <c r="E128" s="43"/>
      <c r="F128" s="43">
        <f t="shared" si="7"/>
        <v>0</v>
      </c>
    </row>
    <row r="129" spans="1:7" ht="18.95" customHeight="1" x14ac:dyDescent="0.25">
      <c r="A129" s="15">
        <v>56401</v>
      </c>
      <c r="B129" s="5" t="s">
        <v>154</v>
      </c>
      <c r="C129" s="43"/>
      <c r="D129" s="43"/>
      <c r="E129" s="43"/>
      <c r="F129" s="43">
        <f t="shared" si="7"/>
        <v>0</v>
      </c>
    </row>
    <row r="130" spans="1:7" ht="18.95" customHeight="1" x14ac:dyDescent="0.25">
      <c r="A130" s="15">
        <v>56701</v>
      </c>
      <c r="B130" s="49" t="s">
        <v>157</v>
      </c>
      <c r="C130" s="43"/>
      <c r="D130" s="43"/>
      <c r="E130" s="43"/>
      <c r="F130" s="43">
        <f t="shared" si="7"/>
        <v>0</v>
      </c>
    </row>
    <row r="131" spans="1:7" ht="18.95" customHeight="1" thickBot="1" x14ac:dyDescent="0.3">
      <c r="A131" s="23"/>
      <c r="B131" s="33"/>
      <c r="C131" s="45"/>
      <c r="D131" s="45"/>
      <c r="E131" s="45"/>
      <c r="F131" s="45"/>
    </row>
    <row r="132" spans="1:7" ht="21.95" customHeight="1" thickBot="1" x14ac:dyDescent="0.3">
      <c r="A132" s="4"/>
      <c r="B132" s="20" t="s">
        <v>102</v>
      </c>
      <c r="C132" s="10">
        <f>SUM(C122:C130)</f>
        <v>0</v>
      </c>
      <c r="D132" s="10">
        <f>SUM(D122:D130)</f>
        <v>0</v>
      </c>
      <c r="E132" s="10">
        <f>SUM(E122:E130)</f>
        <v>0</v>
      </c>
      <c r="F132" s="10">
        <f>C132+D132+E132</f>
        <v>0</v>
      </c>
    </row>
    <row r="133" spans="1:7" ht="15.75" thickBot="1" x14ac:dyDescent="0.3">
      <c r="A133" s="52"/>
      <c r="B133" s="34"/>
      <c r="C133" s="53"/>
      <c r="D133" s="53"/>
      <c r="E133" s="53"/>
      <c r="F133" s="53"/>
    </row>
    <row r="134" spans="1:7" ht="30.75" customHeight="1" thickBot="1" x14ac:dyDescent="0.3">
      <c r="A134" s="4"/>
      <c r="B134" s="4" t="s">
        <v>21</v>
      </c>
      <c r="C134" s="10">
        <f>C41+C74+C112+C119+C132</f>
        <v>0</v>
      </c>
      <c r="D134" s="10">
        <f>D41+D74+D112+D119+D132</f>
        <v>0</v>
      </c>
      <c r="E134" s="10">
        <f>E41+E74+E112+E119+E132</f>
        <v>0</v>
      </c>
      <c r="F134" s="10">
        <f>C134+D134+E134</f>
        <v>0</v>
      </c>
    </row>
    <row r="137" spans="1:7" x14ac:dyDescent="0.25">
      <c r="A137" s="106" t="s">
        <v>186</v>
      </c>
      <c r="B137" s="106"/>
      <c r="C137" s="106" t="s">
        <v>185</v>
      </c>
      <c r="D137" s="106"/>
      <c r="E137" s="107" t="s">
        <v>24</v>
      </c>
      <c r="F137" s="107"/>
    </row>
    <row r="138" spans="1:7" x14ac:dyDescent="0.25">
      <c r="A138" s="60" t="s">
        <v>187</v>
      </c>
      <c r="B138" s="60"/>
      <c r="C138" s="62"/>
      <c r="D138" s="62"/>
      <c r="E138" s="61"/>
    </row>
    <row r="139" spans="1:7" x14ac:dyDescent="0.25">
      <c r="A139" s="111" t="s">
        <v>188</v>
      </c>
      <c r="B139" s="108"/>
      <c r="C139" s="108" t="s">
        <v>189</v>
      </c>
      <c r="D139" s="108"/>
      <c r="E139" s="109" t="s">
        <v>190</v>
      </c>
      <c r="F139" s="109"/>
      <c r="G139" s="62"/>
    </row>
    <row r="140" spans="1:7" x14ac:dyDescent="0.25">
      <c r="A140" s="106" t="s">
        <v>191</v>
      </c>
      <c r="B140" s="106"/>
      <c r="C140" s="110" t="s">
        <v>193</v>
      </c>
      <c r="D140" s="110"/>
      <c r="E140" s="107" t="s">
        <v>169</v>
      </c>
      <c r="F140" s="107"/>
    </row>
    <row r="141" spans="1:7" x14ac:dyDescent="0.25">
      <c r="A141" s="106" t="s">
        <v>192</v>
      </c>
      <c r="B141" s="106"/>
      <c r="C141" s="106" t="s">
        <v>27</v>
      </c>
      <c r="D141" s="106"/>
      <c r="E141" s="107" t="s">
        <v>28</v>
      </c>
      <c r="F141" s="107"/>
    </row>
    <row r="142" spans="1:7" x14ac:dyDescent="0.25">
      <c r="E142" s="61"/>
    </row>
    <row r="143" spans="1:7" x14ac:dyDescent="0.25">
      <c r="E143" s="61"/>
      <c r="F143" s="62"/>
    </row>
    <row r="144" spans="1:7" x14ac:dyDescent="0.25">
      <c r="C144" s="63"/>
      <c r="E144" s="61"/>
      <c r="F144" s="62"/>
    </row>
    <row r="145" spans="4:4" x14ac:dyDescent="0.25">
      <c r="D145" s="62"/>
    </row>
  </sheetData>
  <mergeCells count="14">
    <mergeCell ref="A2:F2"/>
    <mergeCell ref="A4:F4"/>
    <mergeCell ref="C141:D141"/>
    <mergeCell ref="E141:F141"/>
    <mergeCell ref="A141:B141"/>
    <mergeCell ref="A140:B140"/>
    <mergeCell ref="E137:F137"/>
    <mergeCell ref="C137:D137"/>
    <mergeCell ref="A137:B137"/>
    <mergeCell ref="C139:D139"/>
    <mergeCell ref="E139:F139"/>
    <mergeCell ref="C140:D140"/>
    <mergeCell ref="E140:F140"/>
    <mergeCell ref="A139:B139"/>
  </mergeCells>
  <conditionalFormatting sqref="E135:E1048576 E1:E4 E7:E9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15748031496062992" right="0.15748031496062992" top="0.62992125984251968" bottom="0.39370078740157483" header="0.31496062992125984" footer="0.31496062992125984"/>
  <pageSetup paperSize="9" scale="75" fitToHeight="3" orientation="portrait" r:id="rId1"/>
  <headerFooter>
    <oddHeader xml:space="preserve">&amp;C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E37" workbookViewId="0">
      <selection activeCell="K57" sqref="K57"/>
    </sheetView>
  </sheetViews>
  <sheetFormatPr baseColWidth="10" defaultRowHeight="15" x14ac:dyDescent="0.25"/>
  <cols>
    <col min="1" max="1" width="0" hidden="1" customWidth="1"/>
    <col min="2" max="2" width="23.140625" hidden="1" customWidth="1"/>
    <col min="3" max="3" width="24.140625" hidden="1" customWidth="1"/>
    <col min="4" max="4" width="22" hidden="1" customWidth="1"/>
    <col min="6" max="6" width="21.140625" customWidth="1"/>
    <col min="7" max="7" width="19.42578125" customWidth="1"/>
    <col min="8" max="8" width="15.7109375" customWidth="1"/>
    <col min="9" max="9" width="16" customWidth="1"/>
  </cols>
  <sheetData>
    <row r="1" spans="1:9" x14ac:dyDescent="0.25">
      <c r="A1" s="17">
        <v>11301</v>
      </c>
      <c r="B1" s="92">
        <v>297857077.82999998</v>
      </c>
      <c r="C1" s="92">
        <v>270668305.57999998</v>
      </c>
      <c r="D1" s="92">
        <f>B1+C1</f>
        <v>568525383.40999997</v>
      </c>
      <c r="E1" s="17">
        <v>31101</v>
      </c>
      <c r="F1" s="91">
        <v>6359727.4100000001</v>
      </c>
      <c r="G1" s="91">
        <v>0</v>
      </c>
      <c r="H1" s="91">
        <v>0</v>
      </c>
      <c r="I1" s="91">
        <f>F1+G1+H1</f>
        <v>6359727.4100000001</v>
      </c>
    </row>
    <row r="2" spans="1:9" s="90" customFormat="1" x14ac:dyDescent="0.25">
      <c r="A2" s="65">
        <v>1200</v>
      </c>
      <c r="B2" s="93">
        <v>0</v>
      </c>
      <c r="C2" s="93">
        <v>0</v>
      </c>
      <c r="D2" s="92">
        <f t="shared" ref="D2:D68" si="0">B2+C2</f>
        <v>0</v>
      </c>
      <c r="E2" s="17">
        <v>31301</v>
      </c>
      <c r="F2" s="91">
        <v>228873.63</v>
      </c>
      <c r="G2" s="91">
        <v>13677</v>
      </c>
      <c r="H2" s="91">
        <v>0</v>
      </c>
      <c r="I2" s="91">
        <f t="shared" ref="I2:I41" si="1">F2+G2+H2</f>
        <v>242550.63</v>
      </c>
    </row>
    <row r="3" spans="1:9" x14ac:dyDescent="0.25">
      <c r="A3" s="17">
        <v>12101</v>
      </c>
      <c r="B3" s="92">
        <v>0</v>
      </c>
      <c r="C3" s="92">
        <v>0</v>
      </c>
      <c r="D3" s="92">
        <f t="shared" si="0"/>
        <v>0</v>
      </c>
      <c r="E3" s="17">
        <v>31401</v>
      </c>
      <c r="F3" s="91">
        <v>1623870.57</v>
      </c>
      <c r="G3" s="91">
        <v>207938.78000000003</v>
      </c>
      <c r="H3" s="91">
        <v>0</v>
      </c>
      <c r="I3" s="91">
        <f t="shared" si="1"/>
        <v>1831809.35</v>
      </c>
    </row>
    <row r="4" spans="1:9" s="90" customFormat="1" x14ac:dyDescent="0.25">
      <c r="A4" s="65">
        <v>1300</v>
      </c>
      <c r="B4" s="93">
        <v>171145155.31999999</v>
      </c>
      <c r="C4" s="93">
        <v>233747276.06999999</v>
      </c>
      <c r="D4" s="93">
        <f t="shared" si="0"/>
        <v>404892431.38999999</v>
      </c>
      <c r="E4" s="17">
        <v>31602</v>
      </c>
      <c r="F4" s="91">
        <v>1782579.31</v>
      </c>
      <c r="G4" s="91">
        <v>388455.43000000005</v>
      </c>
      <c r="H4" s="91">
        <v>0</v>
      </c>
      <c r="I4" s="91">
        <f t="shared" si="1"/>
        <v>2171034.7400000002</v>
      </c>
    </row>
    <row r="5" spans="1:9" x14ac:dyDescent="0.25">
      <c r="A5" s="17">
        <v>13101</v>
      </c>
      <c r="B5" s="92">
        <v>85876471.760000005</v>
      </c>
      <c r="C5" s="92">
        <v>109948043.2</v>
      </c>
      <c r="D5" s="92">
        <f t="shared" si="0"/>
        <v>195824514.96000001</v>
      </c>
      <c r="E5" s="17">
        <v>31801</v>
      </c>
      <c r="F5" s="91">
        <v>1076.2099999999996</v>
      </c>
      <c r="G5" s="91">
        <v>0</v>
      </c>
      <c r="H5" s="91">
        <v>0</v>
      </c>
      <c r="I5" s="91">
        <f t="shared" si="1"/>
        <v>1076.2099999999996</v>
      </c>
    </row>
    <row r="6" spans="1:9" s="90" customFormat="1" x14ac:dyDescent="0.25">
      <c r="A6" s="65">
        <v>13103</v>
      </c>
      <c r="B6" s="93">
        <v>10755045</v>
      </c>
      <c r="C6" s="93">
        <v>10853077</v>
      </c>
      <c r="D6" s="93">
        <f t="shared" si="0"/>
        <v>21608122</v>
      </c>
      <c r="E6" s="65">
        <v>3200</v>
      </c>
      <c r="F6" s="93">
        <v>6772839.8900000006</v>
      </c>
      <c r="G6" s="93">
        <v>12611.200000000012</v>
      </c>
      <c r="H6" s="93">
        <v>0</v>
      </c>
      <c r="I6" s="93">
        <f t="shared" si="1"/>
        <v>6785451.0900000008</v>
      </c>
    </row>
    <row r="7" spans="1:9" x14ac:dyDescent="0.25">
      <c r="A7" s="17">
        <v>13105</v>
      </c>
      <c r="B7" s="92">
        <v>0</v>
      </c>
      <c r="C7" s="92">
        <v>15325207.26</v>
      </c>
      <c r="D7" s="92">
        <f t="shared" si="0"/>
        <v>15325207.26</v>
      </c>
      <c r="E7" s="17">
        <v>32201</v>
      </c>
      <c r="F7" s="91">
        <v>6771322.6100000003</v>
      </c>
      <c r="G7" s="91">
        <v>0</v>
      </c>
      <c r="H7" s="91">
        <v>0</v>
      </c>
      <c r="I7" s="91">
        <f t="shared" si="1"/>
        <v>6771322.6100000003</v>
      </c>
    </row>
    <row r="8" spans="1:9" x14ac:dyDescent="0.25">
      <c r="A8" s="17">
        <v>13201</v>
      </c>
      <c r="B8" s="92">
        <v>25310021</v>
      </c>
      <c r="C8" s="92">
        <v>45649155.480000004</v>
      </c>
      <c r="D8" s="92">
        <f t="shared" si="0"/>
        <v>70959176.480000004</v>
      </c>
      <c r="E8" s="17">
        <v>32303</v>
      </c>
      <c r="F8" s="91">
        <v>0</v>
      </c>
      <c r="G8" s="91">
        <v>0</v>
      </c>
      <c r="H8" s="91">
        <v>0</v>
      </c>
      <c r="I8" s="91">
        <f t="shared" si="1"/>
        <v>0</v>
      </c>
    </row>
    <row r="9" spans="1:9" x14ac:dyDescent="0.25">
      <c r="A9" s="17">
        <v>13202</v>
      </c>
      <c r="B9" s="92">
        <v>41996988.560000002</v>
      </c>
      <c r="C9" s="92">
        <v>45987249.100000001</v>
      </c>
      <c r="D9" s="92">
        <f t="shared" si="0"/>
        <v>87984237.659999996</v>
      </c>
      <c r="E9" s="17">
        <v>32701</v>
      </c>
      <c r="F9" s="91">
        <v>1517.28</v>
      </c>
      <c r="G9" s="91">
        <v>12611.200000000012</v>
      </c>
      <c r="H9" s="91">
        <v>0</v>
      </c>
      <c r="I9" s="91">
        <f t="shared" si="1"/>
        <v>14128.480000000012</v>
      </c>
    </row>
    <row r="10" spans="1:9" s="90" customFormat="1" x14ac:dyDescent="0.25">
      <c r="A10" s="65">
        <v>13401</v>
      </c>
      <c r="B10" s="93">
        <v>0</v>
      </c>
      <c r="C10" s="93">
        <v>0</v>
      </c>
      <c r="D10" s="93">
        <f t="shared" si="0"/>
        <v>0</v>
      </c>
      <c r="E10" s="65">
        <v>3300</v>
      </c>
      <c r="F10" s="93">
        <v>1500743.42</v>
      </c>
      <c r="G10" s="93">
        <v>2318040.2400000002</v>
      </c>
      <c r="H10" s="93">
        <v>1796729.7</v>
      </c>
      <c r="I10" s="93">
        <f t="shared" si="1"/>
        <v>5615513.3600000003</v>
      </c>
    </row>
    <row r="11" spans="1:9" x14ac:dyDescent="0.25">
      <c r="A11" s="17">
        <v>13409</v>
      </c>
      <c r="B11" s="92">
        <v>5453549</v>
      </c>
      <c r="C11" s="92">
        <v>5105222.97</v>
      </c>
      <c r="D11" s="92">
        <f t="shared" si="0"/>
        <v>10558771.969999999</v>
      </c>
      <c r="E11" s="17">
        <v>33101</v>
      </c>
      <c r="F11" s="91">
        <v>0</v>
      </c>
      <c r="G11" s="91">
        <v>0</v>
      </c>
      <c r="H11" s="91">
        <v>0</v>
      </c>
      <c r="I11" s="91">
        <f t="shared" si="1"/>
        <v>0</v>
      </c>
    </row>
    <row r="12" spans="1:9" x14ac:dyDescent="0.25">
      <c r="A12" s="17">
        <v>13410</v>
      </c>
      <c r="B12" s="92">
        <v>0</v>
      </c>
      <c r="C12" s="92">
        <v>546401.06000000006</v>
      </c>
      <c r="D12" s="92">
        <f t="shared" si="0"/>
        <v>546401.06000000006</v>
      </c>
      <c r="E12" s="17">
        <v>33104</v>
      </c>
      <c r="F12" s="91">
        <v>0</v>
      </c>
      <c r="G12" s="91">
        <v>0</v>
      </c>
      <c r="H12" s="91">
        <v>0</v>
      </c>
      <c r="I12" s="91">
        <f t="shared" si="1"/>
        <v>0</v>
      </c>
    </row>
    <row r="13" spans="1:9" x14ac:dyDescent="0.25">
      <c r="A13" s="17">
        <v>13415</v>
      </c>
      <c r="B13" s="92">
        <v>0</v>
      </c>
      <c r="C13" s="92">
        <v>0</v>
      </c>
      <c r="D13" s="92">
        <f t="shared" si="0"/>
        <v>0</v>
      </c>
      <c r="E13" s="17">
        <v>33201</v>
      </c>
      <c r="F13" s="91">
        <v>0</v>
      </c>
      <c r="G13" s="91">
        <v>0</v>
      </c>
      <c r="H13" s="91">
        <v>0</v>
      </c>
      <c r="I13" s="91">
        <f t="shared" si="1"/>
        <v>0</v>
      </c>
    </row>
    <row r="14" spans="1:9" x14ac:dyDescent="0.25">
      <c r="A14" s="17">
        <v>13416</v>
      </c>
      <c r="B14" s="92">
        <v>0</v>
      </c>
      <c r="C14" s="92">
        <v>0</v>
      </c>
      <c r="D14" s="92">
        <f t="shared" si="0"/>
        <v>0</v>
      </c>
      <c r="E14" s="17">
        <v>33301</v>
      </c>
      <c r="F14" s="91">
        <v>1770.9199999999837</v>
      </c>
      <c r="G14" s="91">
        <v>148480</v>
      </c>
      <c r="H14" s="91">
        <v>0</v>
      </c>
      <c r="I14" s="91">
        <f t="shared" si="1"/>
        <v>150250.91999999998</v>
      </c>
    </row>
    <row r="15" spans="1:9" x14ac:dyDescent="0.25">
      <c r="A15" s="17">
        <v>13417</v>
      </c>
      <c r="B15" s="92">
        <v>1753080</v>
      </c>
      <c r="C15" s="92">
        <v>332920</v>
      </c>
      <c r="D15" s="92">
        <f t="shared" si="0"/>
        <v>2086000</v>
      </c>
      <c r="E15" s="17">
        <v>33302</v>
      </c>
      <c r="F15" s="91">
        <v>0</v>
      </c>
      <c r="G15" s="91">
        <v>0</v>
      </c>
      <c r="H15" s="91">
        <v>1796729.7</v>
      </c>
      <c r="I15" s="91">
        <f t="shared" si="1"/>
        <v>1796729.7</v>
      </c>
    </row>
    <row r="16" spans="1:9" s="90" customFormat="1" x14ac:dyDescent="0.25">
      <c r="A16" s="65">
        <v>1400</v>
      </c>
      <c r="B16" s="93">
        <v>79946689.590000004</v>
      </c>
      <c r="C16" s="93">
        <v>32593223.389999997</v>
      </c>
      <c r="D16" s="93">
        <f t="shared" si="0"/>
        <v>112539912.98</v>
      </c>
      <c r="E16" s="17">
        <v>33303</v>
      </c>
      <c r="F16" s="91">
        <v>0</v>
      </c>
      <c r="G16" s="91">
        <v>0</v>
      </c>
      <c r="H16" s="91">
        <v>0</v>
      </c>
      <c r="I16" s="91">
        <f t="shared" si="1"/>
        <v>0</v>
      </c>
    </row>
    <row r="17" spans="1:9" x14ac:dyDescent="0.25">
      <c r="A17" s="17">
        <v>14101</v>
      </c>
      <c r="B17" s="92">
        <v>36716881.480000004</v>
      </c>
      <c r="C17" s="92">
        <v>15914932.51</v>
      </c>
      <c r="D17" s="92">
        <f t="shared" si="0"/>
        <v>52631813.990000002</v>
      </c>
      <c r="E17" s="17">
        <v>33401</v>
      </c>
      <c r="F17" s="91">
        <v>1373507.3800000001</v>
      </c>
      <c r="G17" s="91">
        <v>1947377.84</v>
      </c>
      <c r="H17" s="91">
        <v>0</v>
      </c>
      <c r="I17" s="91">
        <f t="shared" si="1"/>
        <v>3320885.22</v>
      </c>
    </row>
    <row r="18" spans="1:9" x14ac:dyDescent="0.25">
      <c r="A18" s="17">
        <v>14104</v>
      </c>
      <c r="B18" s="92">
        <v>75512.160000000149</v>
      </c>
      <c r="C18" s="92">
        <v>3841212.0999999996</v>
      </c>
      <c r="D18" s="92">
        <f t="shared" si="0"/>
        <v>3916724.26</v>
      </c>
      <c r="E18" s="17">
        <v>33603</v>
      </c>
      <c r="F18" s="91">
        <v>0</v>
      </c>
      <c r="G18" s="91">
        <v>0</v>
      </c>
      <c r="H18" s="91">
        <v>0</v>
      </c>
      <c r="I18" s="91">
        <f t="shared" si="1"/>
        <v>0</v>
      </c>
    </row>
    <row r="19" spans="1:9" x14ac:dyDescent="0.25">
      <c r="A19" s="17">
        <v>14105</v>
      </c>
      <c r="B19" s="92">
        <v>11859832.09</v>
      </c>
      <c r="C19" s="92">
        <v>3496471.9499999993</v>
      </c>
      <c r="D19" s="92">
        <f t="shared" si="0"/>
        <v>15356304.039999999</v>
      </c>
      <c r="E19" s="17">
        <v>33604</v>
      </c>
      <c r="F19" s="91">
        <v>106485.90999999997</v>
      </c>
      <c r="G19" s="91">
        <v>222182.39999999999</v>
      </c>
      <c r="H19" s="91">
        <v>0</v>
      </c>
      <c r="I19" s="91">
        <f t="shared" si="1"/>
        <v>328668.30999999994</v>
      </c>
    </row>
    <row r="20" spans="1:9" x14ac:dyDescent="0.25">
      <c r="A20" s="17">
        <v>14201</v>
      </c>
      <c r="B20" s="92">
        <v>20431762.009999998</v>
      </c>
      <c r="C20" s="92">
        <v>5484310.1899999995</v>
      </c>
      <c r="D20" s="92">
        <f t="shared" si="0"/>
        <v>25916072.199999996</v>
      </c>
      <c r="E20" s="17">
        <v>33801</v>
      </c>
      <c r="F20" s="91">
        <v>18979.21</v>
      </c>
      <c r="G20" s="91">
        <v>0</v>
      </c>
      <c r="H20" s="91">
        <v>0</v>
      </c>
      <c r="I20" s="91">
        <f t="shared" si="1"/>
        <v>18979.21</v>
      </c>
    </row>
    <row r="21" spans="1:9" s="90" customFormat="1" x14ac:dyDescent="0.25">
      <c r="A21" s="65">
        <v>14301</v>
      </c>
      <c r="B21" s="93">
        <v>7470760.7400000002</v>
      </c>
      <c r="C21" s="93">
        <v>2895611.06</v>
      </c>
      <c r="D21" s="93">
        <f t="shared" si="0"/>
        <v>10366371.800000001</v>
      </c>
      <c r="E21" s="65">
        <v>3400</v>
      </c>
      <c r="F21" s="93">
        <v>368189.3</v>
      </c>
      <c r="G21" s="93">
        <v>82749.06</v>
      </c>
      <c r="H21" s="93">
        <v>14737.74</v>
      </c>
      <c r="I21" s="93">
        <f t="shared" si="1"/>
        <v>465676.1</v>
      </c>
    </row>
    <row r="22" spans="1:9" x14ac:dyDescent="0.25">
      <c r="A22" s="17">
        <v>14302</v>
      </c>
      <c r="B22" s="92">
        <v>2454056.86</v>
      </c>
      <c r="C22" s="92">
        <v>172000.57000000007</v>
      </c>
      <c r="D22" s="92">
        <f t="shared" si="0"/>
        <v>2626057.4299999997</v>
      </c>
      <c r="E22" s="17">
        <v>34101</v>
      </c>
      <c r="F22" s="91">
        <v>0</v>
      </c>
      <c r="G22" s="91">
        <v>0</v>
      </c>
      <c r="H22" s="91">
        <v>0</v>
      </c>
      <c r="I22" s="91">
        <f t="shared" si="1"/>
        <v>0</v>
      </c>
    </row>
    <row r="23" spans="1:9" x14ac:dyDescent="0.25">
      <c r="A23" s="17">
        <v>14401</v>
      </c>
      <c r="B23" s="92">
        <v>483960.12000000011</v>
      </c>
      <c r="C23" s="92">
        <v>539526.87999999989</v>
      </c>
      <c r="D23" s="92">
        <f t="shared" si="0"/>
        <v>1023487</v>
      </c>
      <c r="E23" s="17">
        <v>34102</v>
      </c>
      <c r="F23" s="91">
        <v>261102.91999999998</v>
      </c>
      <c r="G23" s="91">
        <v>6051.7200000000012</v>
      </c>
      <c r="H23" s="91">
        <v>14737.74</v>
      </c>
      <c r="I23" s="91">
        <f t="shared" si="1"/>
        <v>281892.38</v>
      </c>
    </row>
    <row r="24" spans="1:9" x14ac:dyDescent="0.25">
      <c r="A24" s="17">
        <v>14405</v>
      </c>
      <c r="B24" s="92">
        <v>453924.13</v>
      </c>
      <c r="C24" s="92">
        <v>249158.12999999998</v>
      </c>
      <c r="D24" s="92">
        <f t="shared" si="0"/>
        <v>703082.26</v>
      </c>
      <c r="E24" s="17">
        <v>34401</v>
      </c>
      <c r="F24" s="91">
        <v>0</v>
      </c>
      <c r="G24" s="91">
        <v>0</v>
      </c>
      <c r="H24" s="91">
        <v>0</v>
      </c>
      <c r="I24" s="91">
        <f t="shared" si="1"/>
        <v>0</v>
      </c>
    </row>
    <row r="25" spans="1:9" s="90" customFormat="1" x14ac:dyDescent="0.25">
      <c r="A25" s="65">
        <v>1500</v>
      </c>
      <c r="B25" s="93">
        <v>59024557.520000011</v>
      </c>
      <c r="C25" s="93">
        <v>325593528.19999999</v>
      </c>
      <c r="D25" s="93">
        <f t="shared" si="0"/>
        <v>384618085.72000003</v>
      </c>
      <c r="E25" s="17">
        <v>34501</v>
      </c>
      <c r="F25" s="91">
        <v>100114.43</v>
      </c>
      <c r="G25" s="91">
        <v>5913.3399999999965</v>
      </c>
      <c r="H25" s="91">
        <v>0</v>
      </c>
      <c r="I25" s="91">
        <f t="shared" si="1"/>
        <v>106027.76999999999</v>
      </c>
    </row>
    <row r="26" spans="1:9" s="90" customFormat="1" x14ac:dyDescent="0.25">
      <c r="A26" s="65"/>
      <c r="B26" s="93"/>
      <c r="C26" s="93"/>
      <c r="D26" s="92">
        <f t="shared" si="0"/>
        <v>0</v>
      </c>
      <c r="E26" s="17">
        <v>34701</v>
      </c>
      <c r="F26" s="91">
        <v>6971.9500000000007</v>
      </c>
      <c r="G26" s="91">
        <v>70784</v>
      </c>
      <c r="H26" s="91">
        <v>0</v>
      </c>
      <c r="I26" s="91">
        <f t="shared" si="1"/>
        <v>77755.95</v>
      </c>
    </row>
    <row r="27" spans="1:9" s="90" customFormat="1" x14ac:dyDescent="0.25">
      <c r="A27" s="65"/>
      <c r="B27" s="93"/>
      <c r="C27" s="93"/>
      <c r="D27" s="93">
        <f t="shared" si="0"/>
        <v>0</v>
      </c>
      <c r="E27" s="65">
        <v>3500</v>
      </c>
      <c r="F27" s="93">
        <v>747553.78999999992</v>
      </c>
      <c r="G27" s="93">
        <v>843754.4600000002</v>
      </c>
      <c r="H27" s="93">
        <v>1592591.47</v>
      </c>
      <c r="I27" s="93">
        <f t="shared" si="1"/>
        <v>3183899.7199999997</v>
      </c>
    </row>
    <row r="28" spans="1:9" x14ac:dyDescent="0.25">
      <c r="A28" s="17">
        <v>15202</v>
      </c>
      <c r="B28" s="92">
        <v>0</v>
      </c>
      <c r="C28" s="92">
        <v>131325.9</v>
      </c>
      <c r="D28" s="92">
        <f t="shared" si="0"/>
        <v>131325.9</v>
      </c>
      <c r="E28" s="17">
        <v>35101</v>
      </c>
      <c r="F28" s="91">
        <v>283304.21999999997</v>
      </c>
      <c r="G28" s="91">
        <v>534449.57000000007</v>
      </c>
      <c r="H28" s="91">
        <v>1412061.25</v>
      </c>
      <c r="I28" s="91">
        <f t="shared" si="1"/>
        <v>2229815.04</v>
      </c>
    </row>
    <row r="29" spans="1:9" x14ac:dyDescent="0.25">
      <c r="A29" s="17">
        <v>15203</v>
      </c>
      <c r="B29" s="92">
        <v>0</v>
      </c>
      <c r="C29" s="92">
        <v>63557.1</v>
      </c>
      <c r="D29" s="92">
        <f t="shared" si="0"/>
        <v>63557.1</v>
      </c>
      <c r="E29" s="17">
        <v>35201</v>
      </c>
      <c r="F29" s="91">
        <v>108909.48</v>
      </c>
      <c r="G29" s="91">
        <v>3970.8000000000029</v>
      </c>
      <c r="H29" s="91">
        <v>0</v>
      </c>
      <c r="I29" s="91">
        <f t="shared" si="1"/>
        <v>112880.28</v>
      </c>
    </row>
    <row r="30" spans="1:9" x14ac:dyDescent="0.25">
      <c r="A30" s="17">
        <v>15401</v>
      </c>
      <c r="B30" s="92">
        <v>0</v>
      </c>
      <c r="C30" s="92">
        <v>0</v>
      </c>
      <c r="D30" s="92">
        <f t="shared" si="0"/>
        <v>0</v>
      </c>
      <c r="E30" s="17">
        <v>35301</v>
      </c>
      <c r="F30" s="91">
        <v>125623.34</v>
      </c>
      <c r="G30" s="91">
        <v>191552</v>
      </c>
      <c r="H30" s="91">
        <v>0</v>
      </c>
      <c r="I30" s="91">
        <f t="shared" si="1"/>
        <v>317175.33999999997</v>
      </c>
    </row>
    <row r="31" spans="1:9" x14ac:dyDescent="0.25">
      <c r="A31" s="17"/>
      <c r="B31" s="92"/>
      <c r="C31" s="92">
        <v>0</v>
      </c>
      <c r="D31" s="92">
        <f t="shared" si="0"/>
        <v>0</v>
      </c>
      <c r="E31" s="17">
        <v>35401</v>
      </c>
      <c r="F31" s="91">
        <v>0</v>
      </c>
      <c r="G31" s="91">
        <v>0</v>
      </c>
      <c r="H31" s="91">
        <v>0</v>
      </c>
      <c r="I31" s="91">
        <f t="shared" si="1"/>
        <v>0</v>
      </c>
    </row>
    <row r="32" spans="1:9" x14ac:dyDescent="0.25">
      <c r="A32" s="17">
        <v>15402</v>
      </c>
      <c r="B32" s="92">
        <v>0</v>
      </c>
      <c r="C32" s="92">
        <v>2098800</v>
      </c>
      <c r="D32" s="92">
        <f t="shared" si="0"/>
        <v>2098800</v>
      </c>
      <c r="E32" s="17">
        <v>35501</v>
      </c>
      <c r="F32" s="91">
        <v>119307.54000000001</v>
      </c>
      <c r="G32" s="91">
        <v>19953.399999999994</v>
      </c>
      <c r="H32" s="91">
        <v>0</v>
      </c>
      <c r="I32" s="91">
        <f t="shared" si="1"/>
        <v>139260.94</v>
      </c>
    </row>
    <row r="33" spans="1:9" x14ac:dyDescent="0.25">
      <c r="A33" s="17">
        <v>15404</v>
      </c>
      <c r="B33" s="92">
        <v>0</v>
      </c>
      <c r="C33" s="92">
        <v>0</v>
      </c>
      <c r="D33" s="92">
        <f t="shared" si="0"/>
        <v>0</v>
      </c>
      <c r="E33" s="17">
        <v>35701</v>
      </c>
      <c r="F33" s="91">
        <v>3364</v>
      </c>
      <c r="G33" s="91">
        <v>0</v>
      </c>
      <c r="H33" s="91"/>
      <c r="I33" s="91">
        <f t="shared" si="1"/>
        <v>3364</v>
      </c>
    </row>
    <row r="34" spans="1:9" x14ac:dyDescent="0.25">
      <c r="A34" s="17"/>
      <c r="B34" s="92"/>
      <c r="C34" s="92"/>
      <c r="D34" s="92"/>
      <c r="E34" s="17"/>
      <c r="F34" s="91"/>
      <c r="G34" s="91"/>
      <c r="H34" s="91"/>
      <c r="I34" s="91">
        <f t="shared" si="1"/>
        <v>0</v>
      </c>
    </row>
    <row r="35" spans="1:9" x14ac:dyDescent="0.25">
      <c r="A35" s="17">
        <v>15405</v>
      </c>
      <c r="B35" s="92">
        <v>0</v>
      </c>
      <c r="C35" s="92">
        <v>0</v>
      </c>
      <c r="D35" s="92">
        <f t="shared" si="0"/>
        <v>0</v>
      </c>
      <c r="E35" s="17">
        <v>35703</v>
      </c>
      <c r="F35" s="91">
        <v>0</v>
      </c>
      <c r="G35" s="91">
        <v>0</v>
      </c>
      <c r="H35" s="91">
        <v>0</v>
      </c>
      <c r="I35" s="91">
        <f t="shared" si="1"/>
        <v>0</v>
      </c>
    </row>
    <row r="36" spans="1:9" x14ac:dyDescent="0.25">
      <c r="A36" s="17">
        <v>15406</v>
      </c>
      <c r="B36" s="92">
        <v>0</v>
      </c>
      <c r="C36" s="92">
        <v>8709000</v>
      </c>
      <c r="D36" s="92">
        <f t="shared" si="0"/>
        <v>8709000</v>
      </c>
      <c r="E36" s="17">
        <v>35801</v>
      </c>
      <c r="F36" s="91">
        <v>1423.5</v>
      </c>
      <c r="G36" s="91">
        <v>0</v>
      </c>
      <c r="H36" s="91">
        <v>0</v>
      </c>
      <c r="I36" s="91">
        <f t="shared" si="1"/>
        <v>1423.5</v>
      </c>
    </row>
    <row r="37" spans="1:9" x14ac:dyDescent="0.25">
      <c r="A37" s="17">
        <v>15407</v>
      </c>
      <c r="B37" s="92">
        <v>3735594.5</v>
      </c>
      <c r="C37" s="92">
        <v>2738971.89</v>
      </c>
      <c r="D37" s="92">
        <f t="shared" si="0"/>
        <v>6474566.3900000006</v>
      </c>
      <c r="E37" s="17">
        <v>35901</v>
      </c>
      <c r="F37" s="91">
        <v>105621.70999999999</v>
      </c>
      <c r="G37" s="91">
        <v>93828.69</v>
      </c>
      <c r="H37" s="91">
        <v>180530.22</v>
      </c>
      <c r="I37" s="91">
        <f t="shared" si="1"/>
        <v>379980.62</v>
      </c>
    </row>
    <row r="38" spans="1:9" s="90" customFormat="1" x14ac:dyDescent="0.25">
      <c r="A38" s="65">
        <v>15410</v>
      </c>
      <c r="B38" s="93">
        <v>0</v>
      </c>
      <c r="C38" s="93">
        <v>2080650</v>
      </c>
      <c r="D38" s="93">
        <f t="shared" si="0"/>
        <v>2080650</v>
      </c>
      <c r="E38" s="65">
        <v>3600</v>
      </c>
      <c r="F38" s="93">
        <v>153485.72</v>
      </c>
      <c r="G38" s="93">
        <v>0</v>
      </c>
      <c r="H38" s="93">
        <v>0</v>
      </c>
      <c r="I38" s="93">
        <f t="shared" si="1"/>
        <v>153485.72</v>
      </c>
    </row>
    <row r="39" spans="1:9" x14ac:dyDescent="0.25">
      <c r="A39" s="17">
        <v>15412</v>
      </c>
      <c r="B39" s="92">
        <v>19974161</v>
      </c>
      <c r="C39" s="92">
        <v>10052254.33</v>
      </c>
      <c r="D39" s="92">
        <f t="shared" si="0"/>
        <v>30026415.329999998</v>
      </c>
      <c r="E39" s="17">
        <v>36101</v>
      </c>
      <c r="F39" s="91">
        <v>145481.72</v>
      </c>
      <c r="G39" s="91">
        <v>0</v>
      </c>
      <c r="H39" s="91">
        <v>0</v>
      </c>
      <c r="I39" s="91">
        <f t="shared" si="1"/>
        <v>145481.72</v>
      </c>
    </row>
    <row r="40" spans="1:9" x14ac:dyDescent="0.25">
      <c r="A40" s="17">
        <v>15413</v>
      </c>
      <c r="B40" s="92">
        <v>4790382.75</v>
      </c>
      <c r="C40" s="92">
        <v>2834705.55</v>
      </c>
      <c r="D40" s="92">
        <f t="shared" si="0"/>
        <v>7625088.2999999998</v>
      </c>
      <c r="E40" s="17">
        <v>36901</v>
      </c>
      <c r="F40" s="91">
        <v>8004</v>
      </c>
      <c r="G40" s="91"/>
      <c r="H40" s="91"/>
      <c r="I40" s="91">
        <f t="shared" si="1"/>
        <v>8004</v>
      </c>
    </row>
    <row r="41" spans="1:9" s="90" customFormat="1" x14ac:dyDescent="0.25">
      <c r="A41" s="65">
        <v>15414</v>
      </c>
      <c r="B41" s="93">
        <v>22106553.59</v>
      </c>
      <c r="C41" s="93">
        <v>22849341.760000002</v>
      </c>
      <c r="D41" s="93">
        <f t="shared" si="0"/>
        <v>44955895.350000001</v>
      </c>
      <c r="E41" s="65">
        <v>3700</v>
      </c>
      <c r="F41" s="93">
        <v>709341.13</v>
      </c>
      <c r="G41" s="93">
        <v>746185.47</v>
      </c>
      <c r="H41" s="93">
        <v>1205000</v>
      </c>
      <c r="I41" s="93">
        <f t="shared" si="1"/>
        <v>2660526.6</v>
      </c>
    </row>
    <row r="42" spans="1:9" x14ac:dyDescent="0.25">
      <c r="A42" s="17"/>
      <c r="B42" s="92"/>
      <c r="C42" s="92"/>
      <c r="D42" s="92"/>
      <c r="E42" s="65"/>
      <c r="F42" s="91"/>
    </row>
    <row r="43" spans="1:9" x14ac:dyDescent="0.25">
      <c r="A43" s="17">
        <v>15416</v>
      </c>
      <c r="B43" s="92">
        <v>0</v>
      </c>
      <c r="C43" s="92">
        <v>30090000</v>
      </c>
      <c r="D43" s="92">
        <f t="shared" si="0"/>
        <v>30090000</v>
      </c>
      <c r="E43" s="17">
        <v>37201</v>
      </c>
      <c r="F43" s="91">
        <v>40729.31</v>
      </c>
      <c r="G43" s="91">
        <v>6556.210000000021</v>
      </c>
      <c r="H43">
        <v>0</v>
      </c>
      <c r="I43" s="91">
        <f>F43+G43+H43</f>
        <v>47285.520000000019</v>
      </c>
    </row>
    <row r="44" spans="1:9" x14ac:dyDescent="0.25">
      <c r="A44" s="17"/>
      <c r="B44" s="92"/>
      <c r="C44" s="92"/>
      <c r="D44" s="92"/>
      <c r="E44" s="17">
        <v>37207</v>
      </c>
      <c r="F44" s="91"/>
      <c r="G44" s="91"/>
      <c r="H44" s="91">
        <v>1185000</v>
      </c>
      <c r="I44" s="91">
        <f t="shared" ref="I44:I57" si="2">F44+G44+H44</f>
        <v>1185000</v>
      </c>
    </row>
    <row r="45" spans="1:9" x14ac:dyDescent="0.25">
      <c r="A45" s="17">
        <v>15417</v>
      </c>
      <c r="B45" s="92">
        <v>0</v>
      </c>
      <c r="C45" s="92">
        <v>16347407.940000001</v>
      </c>
      <c r="D45" s="92">
        <f t="shared" si="0"/>
        <v>16347407.940000001</v>
      </c>
      <c r="E45" s="17">
        <v>37208</v>
      </c>
      <c r="F45" s="91">
        <v>71547.59</v>
      </c>
      <c r="G45" s="91">
        <v>6987.13</v>
      </c>
      <c r="H45" s="91">
        <v>20000</v>
      </c>
      <c r="I45" s="91">
        <f t="shared" si="2"/>
        <v>98534.720000000001</v>
      </c>
    </row>
    <row r="46" spans="1:9" x14ac:dyDescent="0.25">
      <c r="A46" s="17">
        <v>15418</v>
      </c>
      <c r="B46" s="92">
        <v>0</v>
      </c>
      <c r="C46" s="92">
        <v>15798862.92</v>
      </c>
      <c r="D46" s="92">
        <f t="shared" si="0"/>
        <v>15798862.92</v>
      </c>
      <c r="E46" s="17">
        <v>37209</v>
      </c>
      <c r="F46" s="91">
        <v>25660</v>
      </c>
      <c r="G46" s="91">
        <v>123618.88</v>
      </c>
      <c r="H46" s="91">
        <v>0</v>
      </c>
      <c r="I46" s="91">
        <f t="shared" si="2"/>
        <v>149278.88</v>
      </c>
    </row>
    <row r="47" spans="1:9" x14ac:dyDescent="0.25">
      <c r="A47" s="17">
        <v>15419</v>
      </c>
      <c r="B47" s="92">
        <v>0</v>
      </c>
      <c r="C47" s="92">
        <v>39774262.460000001</v>
      </c>
      <c r="D47" s="92">
        <f t="shared" si="0"/>
        <v>39774262.460000001</v>
      </c>
      <c r="E47" s="17">
        <v>37501</v>
      </c>
      <c r="F47" s="91">
        <v>571404.23</v>
      </c>
      <c r="G47" s="91">
        <v>609023.25</v>
      </c>
      <c r="H47" s="91">
        <v>0</v>
      </c>
      <c r="I47" s="91">
        <f t="shared" si="2"/>
        <v>1180427.48</v>
      </c>
    </row>
    <row r="48" spans="1:9" s="90" customFormat="1" x14ac:dyDescent="0.25">
      <c r="A48" s="65">
        <v>15420</v>
      </c>
      <c r="B48" s="93">
        <v>0</v>
      </c>
      <c r="C48" s="93">
        <v>5802100</v>
      </c>
      <c r="D48" s="93">
        <f t="shared" si="0"/>
        <v>5802100</v>
      </c>
      <c r="E48" s="65">
        <v>3800</v>
      </c>
      <c r="F48" s="93">
        <v>789236.41999999993</v>
      </c>
      <c r="G48" s="93">
        <v>381676.79999999999</v>
      </c>
      <c r="H48" s="93">
        <v>0</v>
      </c>
      <c r="I48" s="93">
        <f t="shared" si="2"/>
        <v>1170913.22</v>
      </c>
    </row>
    <row r="49" spans="1:9" x14ac:dyDescent="0.25">
      <c r="A49" s="17">
        <v>15421</v>
      </c>
      <c r="B49" s="92">
        <v>0</v>
      </c>
      <c r="C49" s="92">
        <v>0</v>
      </c>
      <c r="D49" s="92">
        <f t="shared" si="0"/>
        <v>0</v>
      </c>
      <c r="E49" s="17">
        <v>38201</v>
      </c>
      <c r="F49" s="91">
        <v>1392</v>
      </c>
      <c r="G49" s="91">
        <v>0</v>
      </c>
      <c r="H49" s="93">
        <v>0</v>
      </c>
      <c r="I49" s="91">
        <f t="shared" si="2"/>
        <v>1392</v>
      </c>
    </row>
    <row r="50" spans="1:9" x14ac:dyDescent="0.25">
      <c r="A50" s="17">
        <v>15422</v>
      </c>
      <c r="B50" s="92">
        <v>1499455.5</v>
      </c>
      <c r="C50" s="92">
        <v>1444320</v>
      </c>
      <c r="D50" s="92">
        <f t="shared" si="0"/>
        <v>2943775.5</v>
      </c>
      <c r="E50" s="17">
        <v>38301</v>
      </c>
      <c r="F50" s="91">
        <v>37431</v>
      </c>
      <c r="G50" s="91">
        <v>294802</v>
      </c>
      <c r="H50" s="91">
        <v>0</v>
      </c>
      <c r="I50" s="91">
        <f t="shared" si="2"/>
        <v>332233</v>
      </c>
    </row>
    <row r="51" spans="1:9" x14ac:dyDescent="0.25">
      <c r="A51" s="17">
        <v>15423</v>
      </c>
      <c r="B51" s="92">
        <v>27312.7</v>
      </c>
      <c r="C51" s="92">
        <v>21857.300000000003</v>
      </c>
      <c r="D51" s="92">
        <f t="shared" si="0"/>
        <v>49170</v>
      </c>
      <c r="E51" s="17">
        <v>38401</v>
      </c>
      <c r="F51" s="91">
        <v>750413.41999999993</v>
      </c>
      <c r="G51" s="91">
        <v>86874.799999999988</v>
      </c>
      <c r="H51" s="91">
        <v>0</v>
      </c>
      <c r="I51" s="91">
        <f t="shared" si="2"/>
        <v>837288.22</v>
      </c>
    </row>
    <row r="52" spans="1:9" x14ac:dyDescent="0.25">
      <c r="A52" s="17">
        <v>15424</v>
      </c>
      <c r="B52" s="92">
        <v>289873.25</v>
      </c>
      <c r="C52" s="92">
        <v>18061775.16</v>
      </c>
      <c r="D52" s="92">
        <f t="shared" si="0"/>
        <v>18351648.41</v>
      </c>
      <c r="E52" s="17">
        <v>38501</v>
      </c>
      <c r="F52" s="91">
        <v>0</v>
      </c>
      <c r="G52" s="91">
        <v>0</v>
      </c>
      <c r="I52" s="91">
        <f t="shared" si="2"/>
        <v>0</v>
      </c>
    </row>
    <row r="53" spans="1:9" s="90" customFormat="1" x14ac:dyDescent="0.25">
      <c r="A53" s="65">
        <v>15425</v>
      </c>
      <c r="B53" s="93">
        <v>0</v>
      </c>
      <c r="C53" s="93">
        <v>122558513.93000001</v>
      </c>
      <c r="D53" s="93">
        <f t="shared" si="0"/>
        <v>122558513.93000001</v>
      </c>
      <c r="E53" s="65">
        <v>3900</v>
      </c>
      <c r="F53" s="93">
        <v>371118.9700000002</v>
      </c>
      <c r="G53" s="93">
        <v>15634058.560000001</v>
      </c>
      <c r="H53" s="93">
        <v>2660417.5</v>
      </c>
      <c r="I53" s="93">
        <f t="shared" si="2"/>
        <v>18665595.030000001</v>
      </c>
    </row>
    <row r="54" spans="1:9" x14ac:dyDescent="0.25">
      <c r="A54" s="17">
        <v>15426</v>
      </c>
      <c r="B54" s="92">
        <v>6601224.2300000004</v>
      </c>
      <c r="C54" s="92">
        <v>6762396.1699999999</v>
      </c>
      <c r="D54" s="92">
        <f t="shared" si="0"/>
        <v>13363620.4</v>
      </c>
      <c r="E54" s="17">
        <v>39203</v>
      </c>
      <c r="F54" s="91">
        <v>0</v>
      </c>
      <c r="G54" s="91">
        <v>13450467.66</v>
      </c>
      <c r="H54" s="91">
        <v>1349412.5</v>
      </c>
      <c r="I54" s="91">
        <f t="shared" si="2"/>
        <v>14799880.16</v>
      </c>
    </row>
    <row r="55" spans="1:9" x14ac:dyDescent="0.25">
      <c r="A55" s="17">
        <v>15427</v>
      </c>
      <c r="B55" s="92">
        <v>0</v>
      </c>
      <c r="C55" s="92">
        <v>0</v>
      </c>
      <c r="D55" s="92">
        <f t="shared" si="0"/>
        <v>0</v>
      </c>
      <c r="E55" s="17">
        <v>39206</v>
      </c>
      <c r="F55" s="91">
        <v>371118.9700000002</v>
      </c>
      <c r="G55" s="91">
        <v>2183590.9000000004</v>
      </c>
      <c r="H55" s="91">
        <v>0</v>
      </c>
      <c r="I55" s="91">
        <f t="shared" si="2"/>
        <v>2554709.8700000006</v>
      </c>
    </row>
    <row r="56" spans="1:9" x14ac:dyDescent="0.25">
      <c r="A56" s="17">
        <v>15428</v>
      </c>
      <c r="B56" s="92">
        <v>0</v>
      </c>
      <c r="C56" s="92">
        <v>0</v>
      </c>
      <c r="D56" s="92">
        <f t="shared" si="0"/>
        <v>0</v>
      </c>
      <c r="E56" s="17">
        <v>39501</v>
      </c>
      <c r="F56" s="91">
        <v>0</v>
      </c>
      <c r="G56" s="91">
        <v>0</v>
      </c>
      <c r="H56" s="91">
        <v>0</v>
      </c>
      <c r="I56" s="91">
        <f t="shared" si="2"/>
        <v>0</v>
      </c>
    </row>
    <row r="57" spans="1:9" x14ac:dyDescent="0.25">
      <c r="A57" s="17">
        <v>15430</v>
      </c>
      <c r="B57" s="92">
        <v>0</v>
      </c>
      <c r="C57" s="92">
        <v>1851000</v>
      </c>
      <c r="D57" s="92">
        <f t="shared" si="0"/>
        <v>1851000</v>
      </c>
      <c r="E57" s="17">
        <v>39602</v>
      </c>
      <c r="F57" s="91">
        <v>0</v>
      </c>
      <c r="G57" s="91">
        <v>0</v>
      </c>
      <c r="H57" s="91">
        <v>1311005</v>
      </c>
      <c r="I57" s="91">
        <f t="shared" si="2"/>
        <v>1311005</v>
      </c>
    </row>
    <row r="58" spans="1:9" ht="15.75" thickBot="1" x14ac:dyDescent="0.3">
      <c r="A58" s="17">
        <v>15431</v>
      </c>
      <c r="B58" s="92">
        <v>0</v>
      </c>
      <c r="C58" s="92">
        <v>2098800</v>
      </c>
      <c r="D58" s="92">
        <f t="shared" si="0"/>
        <v>2098800</v>
      </c>
      <c r="E58" s="74"/>
      <c r="F58" s="91"/>
      <c r="H58" s="91"/>
      <c r="I58" s="91"/>
    </row>
    <row r="59" spans="1:9" s="90" customFormat="1" ht="15.75" thickBot="1" x14ac:dyDescent="0.3">
      <c r="A59" s="65">
        <v>15432</v>
      </c>
      <c r="B59" s="93">
        <v>0</v>
      </c>
      <c r="C59" s="93">
        <v>692624.87999999989</v>
      </c>
      <c r="D59" s="93">
        <f t="shared" si="0"/>
        <v>692624.87999999989</v>
      </c>
      <c r="E59" s="16"/>
      <c r="F59" s="93">
        <v>21408635.769999996</v>
      </c>
      <c r="G59" s="93">
        <v>20629147</v>
      </c>
      <c r="H59" s="93">
        <v>7269476.4100000001</v>
      </c>
      <c r="I59" s="93">
        <f>G59+F59+H59</f>
        <v>49307259.179999992</v>
      </c>
    </row>
    <row r="60" spans="1:9" x14ac:dyDescent="0.25">
      <c r="A60" s="17">
        <v>15433</v>
      </c>
      <c r="B60" s="92">
        <v>0</v>
      </c>
      <c r="C60" s="92">
        <v>5806000</v>
      </c>
      <c r="D60" s="92">
        <f t="shared" si="0"/>
        <v>5806000</v>
      </c>
    </row>
    <row r="61" spans="1:9" x14ac:dyDescent="0.25">
      <c r="A61" s="17">
        <v>15434</v>
      </c>
      <c r="B61" s="92">
        <v>0</v>
      </c>
      <c r="C61" s="92">
        <v>4785960.76</v>
      </c>
      <c r="D61" s="92">
        <f t="shared" si="0"/>
        <v>4785960.76</v>
      </c>
    </row>
    <row r="62" spans="1:9" x14ac:dyDescent="0.25">
      <c r="A62" s="17">
        <v>15901</v>
      </c>
      <c r="B62" s="92">
        <v>0</v>
      </c>
      <c r="C62" s="92">
        <v>818220.15000000014</v>
      </c>
      <c r="D62" s="92">
        <f t="shared" si="0"/>
        <v>818220.15000000014</v>
      </c>
    </row>
    <row r="63" spans="1:9" x14ac:dyDescent="0.25">
      <c r="A63" s="17">
        <v>15906</v>
      </c>
      <c r="B63" s="92">
        <v>0</v>
      </c>
      <c r="C63" s="92">
        <v>1320820</v>
      </c>
      <c r="D63" s="92">
        <f t="shared" si="0"/>
        <v>1320820</v>
      </c>
    </row>
    <row r="64" spans="1:9" s="90" customFormat="1" x14ac:dyDescent="0.25">
      <c r="A64" s="65">
        <v>1700</v>
      </c>
      <c r="B64" s="93">
        <v>18222148.240000002</v>
      </c>
      <c r="C64" s="93">
        <v>21209622.409999996</v>
      </c>
      <c r="D64" s="93">
        <f t="shared" si="0"/>
        <v>39431770.649999999</v>
      </c>
    </row>
    <row r="65" spans="1:4" x14ac:dyDescent="0.25">
      <c r="A65" s="17">
        <v>17101</v>
      </c>
      <c r="B65" s="92">
        <v>17703243.240000002</v>
      </c>
      <c r="C65" s="92">
        <v>15277380.76</v>
      </c>
      <c r="D65" s="92">
        <f t="shared" si="0"/>
        <v>32980624</v>
      </c>
    </row>
    <row r="66" spans="1:4" x14ac:dyDescent="0.25">
      <c r="A66" s="17">
        <v>17102</v>
      </c>
      <c r="B66" s="92">
        <v>0</v>
      </c>
      <c r="C66" s="92">
        <v>4589350</v>
      </c>
      <c r="D66" s="92">
        <f t="shared" si="0"/>
        <v>4589350</v>
      </c>
    </row>
    <row r="67" spans="1:4" x14ac:dyDescent="0.25">
      <c r="A67" s="17">
        <v>17104</v>
      </c>
      <c r="B67" s="92">
        <v>518905</v>
      </c>
      <c r="C67" s="92">
        <v>518905</v>
      </c>
      <c r="D67" s="92">
        <f t="shared" si="0"/>
        <v>1037810</v>
      </c>
    </row>
    <row r="68" spans="1:4" x14ac:dyDescent="0.25">
      <c r="A68" s="17">
        <v>17105</v>
      </c>
      <c r="B68" s="92">
        <v>0</v>
      </c>
      <c r="C68" s="92">
        <v>0</v>
      </c>
      <c r="D68" s="92">
        <f t="shared" si="0"/>
        <v>0</v>
      </c>
    </row>
    <row r="69" spans="1:4" x14ac:dyDescent="0.25">
      <c r="A69" s="17">
        <v>17106</v>
      </c>
      <c r="B69" s="92">
        <v>0</v>
      </c>
      <c r="C69" s="92">
        <v>823986.65</v>
      </c>
      <c r="D69" s="92">
        <f t="shared" ref="D69:D71" si="3">B69+C69</f>
        <v>823986.65</v>
      </c>
    </row>
    <row r="70" spans="1:4" ht="15.75" thickBot="1" x14ac:dyDescent="0.3">
      <c r="A70" s="74"/>
      <c r="B70" s="92"/>
      <c r="C70" s="92"/>
      <c r="D70" s="92">
        <f t="shared" si="3"/>
        <v>0</v>
      </c>
    </row>
    <row r="71" spans="1:4" ht="15.75" thickBot="1" x14ac:dyDescent="0.3">
      <c r="A71" s="16"/>
      <c r="B71" s="93">
        <v>626195628.5</v>
      </c>
      <c r="C71" s="93">
        <v>883811955.64999998</v>
      </c>
      <c r="D71" s="93">
        <f t="shared" si="3"/>
        <v>1510007584.1500001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Dic-20 Global </vt:lpstr>
      <vt:lpstr>Dic-20 EST</vt:lpstr>
      <vt:lpstr>Dic-20 ING. PROP.</vt:lpstr>
      <vt:lpstr>PRESUPUESTO  FIS. 2020</vt:lpstr>
      <vt:lpstr>Hoja1</vt:lpstr>
      <vt:lpstr>Hoja2</vt:lpstr>
      <vt:lpstr>'Dic-20 Global '!Área_de_impresión</vt:lpstr>
      <vt:lpstr>'Dic-20 ING. PROP.'!Área_de_impresión</vt:lpstr>
      <vt:lpstr>'PRESUPUESTO  FIS. 2020'!Área_de_impresión</vt:lpstr>
      <vt:lpstr>'Dic-20 EST'!Títulos_a_imprimir</vt:lpstr>
      <vt:lpstr>'Dic-20 Global '!Títulos_a_imprimir</vt:lpstr>
      <vt:lpstr>'Dic-20 ING. PROP.'!Títulos_a_imprimir</vt:lpstr>
      <vt:lpstr>'PRESUPUESTO  FIS. 2020'!Títulos_a_imprimir</vt:lpstr>
    </vt:vector>
  </TitlesOfParts>
  <Company>COBAEM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tesoreria.pc13</dc:creator>
  <cp:lastModifiedBy>tesoreria.pc1</cp:lastModifiedBy>
  <cp:lastPrinted>2021-03-03T21:24:43Z</cp:lastPrinted>
  <dcterms:created xsi:type="dcterms:W3CDTF">2015-04-28T14:50:30Z</dcterms:created>
  <dcterms:modified xsi:type="dcterms:W3CDTF">2021-03-04T18:56:26Z</dcterms:modified>
</cp:coreProperties>
</file>